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esktop\REBALANS IV 2019\"/>
    </mc:Choice>
  </mc:AlternateContent>
  <bookViews>
    <workbookView xWindow="0" yWindow="0" windowWidth="20490" windowHeight="7755" tabRatio="599" firstSheet="7" activeTab="13"/>
  </bookViews>
  <sheets>
    <sheet name="Рачун финансирања" sheetId="16" r:id="rId1"/>
    <sheet name="Приџ,прим vs Расх,изд" sheetId="1" state="hidden" r:id="rId2"/>
    <sheet name="Оптшти део - (6)" sheetId="3" r:id="rId3"/>
    <sheet name="По основ. нам." sheetId="5" r:id="rId4"/>
    <sheet name="Програмска" sheetId="7" r:id="rId5"/>
    <sheet name="Расх по функц. " sheetId="6" r:id="rId6"/>
    <sheet name="ПО КОРИСНИЦИМА" sheetId="8" r:id="rId7"/>
    <sheet name="члан 3" sheetId="18" r:id="rId8"/>
    <sheet name="Класификације" sheetId="17" r:id="rId9"/>
    <sheet name="РЕЗЕРВА" sheetId="19" r:id="rId10"/>
    <sheet name="Sheet1" sheetId="20" r:id="rId11"/>
    <sheet name="TUR.ORG PLATA" sheetId="21" r:id="rId12"/>
    <sheet name="t1 podaci" sheetId="22" r:id="rId13"/>
    <sheet name="Sheet2" sheetId="23" r:id="rId14"/>
  </sheets>
  <definedNames>
    <definedName name="_xlnm._FilterDatabase" localSheetId="8" hidden="1">Класификације!$L$2:$M$4732</definedName>
    <definedName name="ljkl">'Расх по функц. '!$I$146</definedName>
    <definedName name="_xlnm.Print_Area" localSheetId="2">'Оптшти део - (6)'!$A$1:$AC$137</definedName>
    <definedName name="_xlnm.Print_Area" localSheetId="6">'ПО КОРИСНИЦИМА'!$A$1:$S$1825</definedName>
    <definedName name="_xlnm.Print_Area" localSheetId="3">'По основ. нам.'!$A$1:$K$103</definedName>
    <definedName name="_xlnm.Print_Area" localSheetId="4">Програмска!$A$1:$L$738</definedName>
    <definedName name="_xlnm.Print_Area" localSheetId="5">'Расх по функц. '!$A$1:$K$146</definedName>
    <definedName name="_xlnm.Print_Area" localSheetId="0">'Рачун финансирања'!$A$1:$I$40</definedName>
    <definedName name="_xlnm.Print_Area" localSheetId="7">'члан 3'!$A$1:$L$122</definedName>
    <definedName name="Ukupno_funkcionalna">'Расх по функц. '!$I$146</definedName>
    <definedName name="Ukupno_izdaci">'По основ. нам.'!$I$89</definedName>
  </definedNames>
  <calcPr calcId="152511"/>
</workbook>
</file>

<file path=xl/calcChain.xml><?xml version="1.0" encoding="utf-8"?>
<calcChain xmlns="http://schemas.openxmlformats.org/spreadsheetml/2006/main">
  <c r="A30" i="23" l="1"/>
  <c r="C26" i="23"/>
  <c r="C22" i="23"/>
  <c r="C20" i="23"/>
  <c r="C16" i="23"/>
  <c r="A22" i="23"/>
  <c r="D7" i="23"/>
  <c r="K14" i="19" l="1"/>
  <c r="J15" i="19"/>
  <c r="J14" i="19"/>
  <c r="I18" i="19"/>
  <c r="I17" i="19"/>
  <c r="I15" i="19"/>
  <c r="I14" i="19"/>
  <c r="I12" i="19"/>
  <c r="I11" i="19"/>
  <c r="G18" i="19"/>
  <c r="G17" i="19"/>
  <c r="G15" i="19"/>
  <c r="G14" i="19"/>
  <c r="G12" i="19"/>
  <c r="G11" i="19"/>
  <c r="F17" i="19"/>
  <c r="F18" i="19"/>
  <c r="F15" i="19"/>
  <c r="F14" i="19"/>
  <c r="F12" i="19"/>
  <c r="F11" i="19"/>
  <c r="E17" i="19"/>
  <c r="E18" i="19"/>
  <c r="E15" i="19"/>
  <c r="E14" i="19"/>
  <c r="E12" i="19"/>
  <c r="E11" i="19"/>
  <c r="D18" i="19"/>
  <c r="D17" i="19"/>
  <c r="D15" i="19"/>
  <c r="D14" i="19"/>
  <c r="D10" i="19"/>
  <c r="D12" i="19" s="1"/>
  <c r="D11" i="19"/>
  <c r="H4" i="19"/>
  <c r="N71" i="18" l="1"/>
  <c r="H1880" i="8"/>
  <c r="H1833" i="8"/>
  <c r="H1865" i="8"/>
  <c r="H531" i="8"/>
  <c r="H1829" i="8" l="1"/>
  <c r="I27" i="16" l="1"/>
  <c r="I26" i="16"/>
  <c r="D17" i="3"/>
  <c r="J67" i="3"/>
  <c r="H490" i="8"/>
  <c r="L490" i="8"/>
  <c r="AA13" i="3" l="1"/>
  <c r="AA12" i="3"/>
  <c r="L1660" i="8"/>
  <c r="L1595" i="8"/>
  <c r="L1350" i="8"/>
  <c r="L1345" i="8"/>
  <c r="L1414" i="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K113" i="18"/>
  <c r="E115" i="18"/>
  <c r="K92" i="18"/>
  <c r="H70" i="18"/>
  <c r="K114" i="18"/>
  <c r="K110" i="18"/>
  <c r="K111" i="18"/>
  <c r="G70" i="18" l="1"/>
  <c r="K102" i="18"/>
  <c r="K101" i="18"/>
  <c r="I28" i="16"/>
  <c r="L1198" i="8" l="1"/>
  <c r="O1801" i="8"/>
  <c r="N1801" i="8"/>
  <c r="M1801" i="8"/>
  <c r="K1801" i="8"/>
  <c r="J1801" i="8"/>
  <c r="I1801" i="8"/>
  <c r="H1801" i="8"/>
  <c r="AB1002" i="8" l="1"/>
  <c r="L1002" i="8"/>
  <c r="O1001" i="8"/>
  <c r="AB1000" i="8"/>
  <c r="AB999" i="8"/>
  <c r="S999" i="8"/>
  <c r="S1002" i="8" s="1"/>
  <c r="R999" i="8"/>
  <c r="R1002" i="8" s="1"/>
  <c r="Q999" i="8"/>
  <c r="Q1002" i="8" s="1"/>
  <c r="O999" i="8"/>
  <c r="O1002" i="8" s="1"/>
  <c r="N999" i="8"/>
  <c r="N1002" i="8" s="1"/>
  <c r="M999" i="8"/>
  <c r="M1002" i="8" s="1"/>
  <c r="K999" i="8"/>
  <c r="K1002" i="8" s="1"/>
  <c r="J999" i="8"/>
  <c r="J1002" i="8" s="1"/>
  <c r="I999" i="8"/>
  <c r="I1002" i="8" s="1"/>
  <c r="O998" i="8"/>
  <c r="I998" i="8"/>
  <c r="I1001" i="8" s="1"/>
  <c r="H998" i="8"/>
  <c r="H999" i="8" s="1"/>
  <c r="AB997" i="8"/>
  <c r="AE996" i="8"/>
  <c r="Z996" i="8"/>
  <c r="AB996" i="8" s="1"/>
  <c r="Q996" i="8"/>
  <c r="P996" i="8"/>
  <c r="O996" i="8"/>
  <c r="K996" i="8"/>
  <c r="K998" i="8" s="1"/>
  <c r="K1001" i="8" s="1"/>
  <c r="J996" i="8"/>
  <c r="AB995" i="8"/>
  <c r="AB994" i="8"/>
  <c r="AB992" i="8"/>
  <c r="O991" i="8"/>
  <c r="AB990" i="8"/>
  <c r="AB989" i="8"/>
  <c r="O988" i="8"/>
  <c r="I988" i="8"/>
  <c r="H988" i="8"/>
  <c r="H989" i="8" s="1"/>
  <c r="AB987" i="8"/>
  <c r="AE986" i="8"/>
  <c r="Z986" i="8"/>
  <c r="AB986" i="8" s="1"/>
  <c r="Q986" i="8"/>
  <c r="P986" i="8"/>
  <c r="O986" i="8"/>
  <c r="K986" i="8"/>
  <c r="K988" i="8" s="1"/>
  <c r="J986" i="8"/>
  <c r="AB985" i="8"/>
  <c r="AB984" i="8"/>
  <c r="N886" i="8"/>
  <c r="N889" i="8" s="1"/>
  <c r="N894" i="8" s="1"/>
  <c r="M886" i="8"/>
  <c r="M889" i="8" s="1"/>
  <c r="M894" i="8" s="1"/>
  <c r="L886" i="8"/>
  <c r="L889" i="8" s="1"/>
  <c r="L894" i="8" s="1"/>
  <c r="H886" i="8"/>
  <c r="H889" i="8" s="1"/>
  <c r="H894" i="8" s="1"/>
  <c r="H721" i="8"/>
  <c r="S986" i="8" l="1"/>
  <c r="S996" i="8"/>
  <c r="R996" i="8"/>
  <c r="H1002" i="8"/>
  <c r="H1001" i="8"/>
  <c r="P1001" i="8" s="1"/>
  <c r="P998" i="8"/>
  <c r="P999" i="8" s="1"/>
  <c r="P1002" i="8" s="1"/>
  <c r="J998" i="8"/>
  <c r="L891" i="8"/>
  <c r="N891" i="8"/>
  <c r="H891" i="8"/>
  <c r="M891" i="8"/>
  <c r="S989" i="8"/>
  <c r="S992" i="8" s="1"/>
  <c r="J989" i="8"/>
  <c r="J992" i="8" s="1"/>
  <c r="Q989" i="8"/>
  <c r="Q992" i="8" s="1"/>
  <c r="H992" i="8"/>
  <c r="H991" i="8"/>
  <c r="P991" i="8" s="1"/>
  <c r="R986" i="8"/>
  <c r="J988" i="8"/>
  <c r="I989" i="8"/>
  <c r="I992" i="8" s="1"/>
  <c r="M989" i="8"/>
  <c r="M992" i="8" s="1"/>
  <c r="O989" i="8"/>
  <c r="O992" i="8" s="1"/>
  <c r="I991" i="8"/>
  <c r="J991" i="8" s="1"/>
  <c r="P988" i="8"/>
  <c r="P989" i="8" s="1"/>
  <c r="P992" i="8" s="1"/>
  <c r="L992" i="8"/>
  <c r="N989" i="8"/>
  <c r="N992" i="8" s="1"/>
  <c r="H1877" i="8"/>
  <c r="D96" i="3"/>
  <c r="J1001" i="8" l="1"/>
  <c r="K989" i="8"/>
  <c r="K992" i="8" s="1"/>
  <c r="R989" i="8"/>
  <c r="R992" i="8" s="1"/>
  <c r="K991" i="8" l="1"/>
  <c r="H1349" i="8" l="1"/>
  <c r="H1383" i="8"/>
  <c r="H1350" i="8"/>
  <c r="Z59" i="3"/>
  <c r="Z58" i="3" s="1"/>
  <c r="Z133" i="3" s="1"/>
  <c r="Z134" i="3" s="1"/>
  <c r="AA61" i="3"/>
  <c r="P776" i="8"/>
  <c r="P775" i="8"/>
  <c r="O765" i="8"/>
  <c r="H765" i="8"/>
  <c r="O764" i="8"/>
  <c r="N764" i="8"/>
  <c r="M764" i="8"/>
  <c r="L764" i="8"/>
  <c r="L761" i="8"/>
  <c r="L765" i="8" s="1"/>
  <c r="L774" i="8" s="1"/>
  <c r="H760" i="8"/>
  <c r="H762" i="8" s="1"/>
  <c r="H568" i="8"/>
  <c r="P774" i="8" l="1"/>
  <c r="L1329" i="8"/>
  <c r="L1801" i="8" s="1"/>
  <c r="L1822" i="8" s="1"/>
  <c r="P760" i="8"/>
  <c r="L762" i="8"/>
  <c r="H764" i="8"/>
  <c r="H1756" i="8"/>
  <c r="H1755" i="8"/>
  <c r="P1329" i="8" l="1"/>
  <c r="P1801" i="8" s="1"/>
  <c r="P1822" i="8"/>
  <c r="P764" i="8"/>
  <c r="L947" i="8"/>
  <c r="O950" i="8"/>
  <c r="O946" i="8"/>
  <c r="I946" i="8"/>
  <c r="H946" i="8"/>
  <c r="P946" i="8" s="1"/>
  <c r="P948" i="8" s="1"/>
  <c r="H936" i="8"/>
  <c r="H937" i="8" s="1"/>
  <c r="H924" i="8"/>
  <c r="H928" i="8" s="1"/>
  <c r="P928" i="8" s="1"/>
  <c r="O928" i="8"/>
  <c r="O924" i="8"/>
  <c r="I924" i="8"/>
  <c r="H1872" i="8"/>
  <c r="H1827" i="8" s="1"/>
  <c r="H912" i="8"/>
  <c r="H916" i="8" s="1"/>
  <c r="P916" i="8" s="1"/>
  <c r="L913" i="8"/>
  <c r="O916" i="8"/>
  <c r="O912" i="8"/>
  <c r="I912" i="8"/>
  <c r="P912" i="8" l="1"/>
  <c r="P914" i="8" s="1"/>
  <c r="H948" i="8"/>
  <c r="H952" i="8" s="1"/>
  <c r="J946" i="8"/>
  <c r="P924" i="8"/>
  <c r="P926" i="8" s="1"/>
  <c r="P930" i="8" s="1"/>
  <c r="H926" i="8"/>
  <c r="H930" i="8" s="1"/>
  <c r="J924" i="8"/>
  <c r="J912" i="8"/>
  <c r="H914" i="8"/>
  <c r="H900" i="8" l="1"/>
  <c r="H904" i="8" s="1"/>
  <c r="AB904" i="8"/>
  <c r="O904" i="8"/>
  <c r="AB900" i="8"/>
  <c r="O900" i="8"/>
  <c r="I900" i="8"/>
  <c r="Q900" i="8" s="1"/>
  <c r="P900" i="8" l="1"/>
  <c r="P902" i="8" s="1"/>
  <c r="P906" i="8" s="1"/>
  <c r="P904" i="8"/>
  <c r="H902" i="8"/>
  <c r="H906" i="8" s="1"/>
  <c r="R900" i="8"/>
  <c r="J900" i="8"/>
  <c r="S900" i="8" l="1"/>
  <c r="H427" i="8"/>
  <c r="H495" i="8"/>
  <c r="L801" i="8" l="1"/>
  <c r="H801" i="8"/>
  <c r="P801" i="8" l="1"/>
  <c r="A13" i="19"/>
  <c r="A15" i="19" s="1"/>
  <c r="K112" i="18" l="1"/>
  <c r="H430" i="8"/>
  <c r="P428" i="8"/>
  <c r="O428" i="8"/>
  <c r="K428" i="8"/>
  <c r="J428" i="8"/>
  <c r="D115" i="18" l="1"/>
  <c r="K107" i="18"/>
  <c r="AA122" i="3"/>
  <c r="AA121" i="3"/>
  <c r="P120" i="3"/>
  <c r="AA120" i="3" s="1"/>
  <c r="O610" i="8"/>
  <c r="N610" i="8"/>
  <c r="M610" i="8"/>
  <c r="L610" i="8"/>
  <c r="L777" i="8" s="1"/>
  <c r="H610" i="8"/>
  <c r="L600" i="8"/>
  <c r="L618" i="8" s="1"/>
  <c r="P592" i="8"/>
  <c r="P610" i="8" s="1"/>
  <c r="J592" i="8"/>
  <c r="P777" i="8" l="1"/>
  <c r="L785" i="8"/>
  <c r="L1326" i="8"/>
  <c r="P119" i="3"/>
  <c r="O810" i="8"/>
  <c r="O827" i="8" s="1"/>
  <c r="N810" i="8"/>
  <c r="N827" i="8" s="1"/>
  <c r="M810" i="8"/>
  <c r="M827" i="8" s="1"/>
  <c r="L810" i="8"/>
  <c r="H810" i="8"/>
  <c r="H827" i="8" s="1"/>
  <c r="P805" i="8"/>
  <c r="P810" i="8" s="1"/>
  <c r="P827" i="8" s="1"/>
  <c r="L806" i="8"/>
  <c r="L809" i="8"/>
  <c r="L826" i="8" s="1"/>
  <c r="L1793" i="8" l="1"/>
  <c r="L1814" i="8" s="1"/>
  <c r="P1326" i="8"/>
  <c r="P1793" i="8" s="1"/>
  <c r="P1814" i="8" s="1"/>
  <c r="L827" i="8"/>
  <c r="AA119" i="3"/>
  <c r="P118" i="3"/>
  <c r="H1593" i="8"/>
  <c r="H1586" i="8"/>
  <c r="H1585" i="8"/>
  <c r="AA118" i="3" l="1"/>
  <c r="P133" i="3"/>
  <c r="P134" i="3" s="1"/>
  <c r="H1598" i="8"/>
  <c r="H1617" i="8"/>
  <c r="H1631" i="8"/>
  <c r="H584" i="8"/>
  <c r="I115" i="18" l="1"/>
  <c r="K109" i="18"/>
  <c r="K108" i="18"/>
  <c r="K105" i="18"/>
  <c r="K104" i="18"/>
  <c r="K103" i="18"/>
  <c r="K100" i="18"/>
  <c r="K99" i="18"/>
  <c r="K98" i="18"/>
  <c r="K97" i="18"/>
  <c r="K96" i="18"/>
  <c r="K95" i="18"/>
  <c r="K94" i="18"/>
  <c r="K93" i="18"/>
  <c r="K90" i="18"/>
  <c r="K89" i="18"/>
  <c r="F115" i="18"/>
  <c r="J66" i="3" l="1"/>
  <c r="L1179" i="8"/>
  <c r="AB1171" i="8"/>
  <c r="M1171" i="8"/>
  <c r="Q1171" i="8" s="1"/>
  <c r="AB1167" i="8"/>
  <c r="M1167" i="8"/>
  <c r="Q1167" i="8" s="1"/>
  <c r="L1167" i="8"/>
  <c r="O1167" i="8" l="1"/>
  <c r="L1168" i="8"/>
  <c r="L1172" i="8" s="1"/>
  <c r="P1167" i="8"/>
  <c r="S1167" i="8" s="1"/>
  <c r="L1171" i="8"/>
  <c r="R1167" i="8" l="1"/>
  <c r="P1171" i="8"/>
  <c r="O1171" i="8"/>
  <c r="P757" i="8"/>
  <c r="O757" i="8"/>
  <c r="N757" i="8"/>
  <c r="K757" i="8"/>
  <c r="J774" i="8"/>
  <c r="L596" i="8"/>
  <c r="S1171" i="8" l="1"/>
  <c r="R1171" i="8"/>
  <c r="AA117" i="3"/>
  <c r="AA114" i="3"/>
  <c r="AA113" i="3" s="1"/>
  <c r="AA112" i="3" s="1"/>
  <c r="AA111" i="3"/>
  <c r="AA110" i="3"/>
  <c r="AA109" i="3"/>
  <c r="AA108" i="3"/>
  <c r="AA105" i="3"/>
  <c r="AA104" i="3"/>
  <c r="AA103" i="3"/>
  <c r="AA101" i="3"/>
  <c r="AA100" i="3"/>
  <c r="AA97" i="3"/>
  <c r="AA95" i="3"/>
  <c r="AA93" i="3"/>
  <c r="AA92" i="3"/>
  <c r="AA91" i="3"/>
  <c r="AA88" i="3"/>
  <c r="AA87" i="3"/>
  <c r="AA82" i="3"/>
  <c r="AA81" i="3"/>
  <c r="AA80" i="3"/>
  <c r="AA79" i="3"/>
  <c r="AA78" i="3"/>
  <c r="AA76" i="3"/>
  <c r="AA74" i="3"/>
  <c r="AA73" i="3"/>
  <c r="AA67" i="3"/>
  <c r="AA65" i="3"/>
  <c r="AA64" i="3"/>
  <c r="AA60" i="3"/>
  <c r="AA59" i="3" s="1"/>
  <c r="AA57" i="3"/>
  <c r="AA52" i="3"/>
  <c r="AA51" i="3"/>
  <c r="AA50" i="3"/>
  <c r="AA49" i="3"/>
  <c r="AA48" i="3"/>
  <c r="AA46" i="3"/>
  <c r="AA43" i="3"/>
  <c r="AA42" i="3"/>
  <c r="AA40" i="3"/>
  <c r="AA38" i="3"/>
  <c r="AA37" i="3"/>
  <c r="AA33" i="3"/>
  <c r="AA31" i="3"/>
  <c r="AA29" i="3"/>
  <c r="AA28" i="3"/>
  <c r="AA27" i="3"/>
  <c r="AA26" i="3"/>
  <c r="AA25" i="3"/>
  <c r="AA24" i="3"/>
  <c r="AA23" i="3"/>
  <c r="AA22" i="3"/>
  <c r="AA21" i="3"/>
  <c r="AA18" i="3"/>
  <c r="AA66" i="3"/>
  <c r="L1586" i="8"/>
  <c r="L1651" i="8" s="1"/>
  <c r="L1144" i="8"/>
  <c r="N747" i="8"/>
  <c r="N752" i="8" s="1"/>
  <c r="N753" i="8" s="1"/>
  <c r="M747" i="8"/>
  <c r="M752" i="8" s="1"/>
  <c r="M753" i="8" s="1"/>
  <c r="L747" i="8"/>
  <c r="L752" i="8" s="1"/>
  <c r="L753" i="8" s="1"/>
  <c r="L781" i="8" s="1"/>
  <c r="H747" i="8"/>
  <c r="H752" i="8" s="1"/>
  <c r="H753" i="8" s="1"/>
  <c r="AB982" i="8"/>
  <c r="AB981" i="8"/>
  <c r="AB980" i="8"/>
  <c r="AB979" i="8"/>
  <c r="AB978" i="8"/>
  <c r="N978" i="8"/>
  <c r="N979" i="8" s="1"/>
  <c r="N982" i="8" s="1"/>
  <c r="M978" i="8"/>
  <c r="M981" i="8" s="1"/>
  <c r="L978" i="8"/>
  <c r="L981" i="8" s="1"/>
  <c r="I978" i="8"/>
  <c r="I981" i="8" s="1"/>
  <c r="H978" i="8"/>
  <c r="H981" i="8" s="1"/>
  <c r="AB977" i="8"/>
  <c r="AE976" i="8"/>
  <c r="Z976" i="8"/>
  <c r="AB976" i="8" s="1"/>
  <c r="Q976" i="8"/>
  <c r="P976" i="8"/>
  <c r="P978" i="8" s="1"/>
  <c r="O976" i="8"/>
  <c r="O978" i="8" s="1"/>
  <c r="K976" i="8"/>
  <c r="K978" i="8" s="1"/>
  <c r="J976" i="8"/>
  <c r="AB975" i="8"/>
  <c r="AB974" i="8"/>
  <c r="AB972" i="8"/>
  <c r="AB971" i="8"/>
  <c r="AB970" i="8"/>
  <c r="AB969" i="8"/>
  <c r="AB968" i="8"/>
  <c r="N968" i="8"/>
  <c r="N969" i="8" s="1"/>
  <c r="N972" i="8" s="1"/>
  <c r="M968" i="8"/>
  <c r="M971" i="8" s="1"/>
  <c r="M1006" i="8" s="1"/>
  <c r="L968" i="8"/>
  <c r="L971" i="8" s="1"/>
  <c r="L1006" i="8" s="1"/>
  <c r="I968" i="8"/>
  <c r="I971" i="8" s="1"/>
  <c r="H968" i="8"/>
  <c r="H971" i="8" s="1"/>
  <c r="AB967" i="8"/>
  <c r="AE966" i="8"/>
  <c r="Z966" i="8"/>
  <c r="AB966" i="8" s="1"/>
  <c r="Q966" i="8"/>
  <c r="Q968" i="8" s="1"/>
  <c r="P966" i="8"/>
  <c r="P968" i="8" s="1"/>
  <c r="O966" i="8"/>
  <c r="O968" i="8" s="1"/>
  <c r="K966" i="8"/>
  <c r="K968" i="8" s="1"/>
  <c r="J966" i="8"/>
  <c r="AB965" i="8"/>
  <c r="AB964" i="8"/>
  <c r="L495" i="8"/>
  <c r="L500" i="8" s="1"/>
  <c r="H500" i="8"/>
  <c r="N512" i="8"/>
  <c r="L507" i="8"/>
  <c r="L511" i="8" s="1"/>
  <c r="N511" i="8"/>
  <c r="M511" i="8"/>
  <c r="I507" i="8"/>
  <c r="H507" i="8"/>
  <c r="P494" i="8"/>
  <c r="P499" i="8" s="1"/>
  <c r="M494" i="8"/>
  <c r="O494" i="8" s="1"/>
  <c r="O499" i="8" s="1"/>
  <c r="L499" i="8"/>
  <c r="L517" i="8" s="1"/>
  <c r="P517" i="8" s="1"/>
  <c r="K499" i="8"/>
  <c r="I499" i="8"/>
  <c r="H499" i="8"/>
  <c r="AB962" i="8"/>
  <c r="AB961" i="8"/>
  <c r="AB960" i="8"/>
  <c r="AB959" i="8"/>
  <c r="AB958" i="8"/>
  <c r="N958" i="8"/>
  <c r="N959" i="8" s="1"/>
  <c r="N962" i="8" s="1"/>
  <c r="M958" i="8"/>
  <c r="M961" i="8" s="1"/>
  <c r="L958" i="8"/>
  <c r="L961" i="8" s="1"/>
  <c r="I958" i="8"/>
  <c r="I961" i="8" s="1"/>
  <c r="H958" i="8"/>
  <c r="H961" i="8" s="1"/>
  <c r="AB957" i="8"/>
  <c r="AE956" i="8"/>
  <c r="Z956" i="8"/>
  <c r="AB956" i="8" s="1"/>
  <c r="Q956" i="8"/>
  <c r="Q958" i="8" s="1"/>
  <c r="P956" i="8"/>
  <c r="P958" i="8" s="1"/>
  <c r="O956" i="8"/>
  <c r="O958" i="8" s="1"/>
  <c r="K956" i="8"/>
  <c r="K958" i="8" s="1"/>
  <c r="J956" i="8"/>
  <c r="AB955" i="8"/>
  <c r="AB954" i="8"/>
  <c r="AB952" i="8"/>
  <c r="AB951" i="8"/>
  <c r="AB949" i="8"/>
  <c r="AB948" i="8"/>
  <c r="AB947" i="8"/>
  <c r="N947" i="8"/>
  <c r="N948" i="8" s="1"/>
  <c r="N952" i="8" s="1"/>
  <c r="M947" i="8"/>
  <c r="M951" i="8" s="1"/>
  <c r="L951" i="8"/>
  <c r="I947" i="8"/>
  <c r="H951" i="8"/>
  <c r="AB945" i="8"/>
  <c r="AE944" i="8"/>
  <c r="Z944" i="8"/>
  <c r="AB944" i="8" s="1"/>
  <c r="Q944" i="8"/>
  <c r="Q947" i="8" s="1"/>
  <c r="P944" i="8"/>
  <c r="O944" i="8"/>
  <c r="O947" i="8" s="1"/>
  <c r="K944" i="8"/>
  <c r="J944" i="8"/>
  <c r="AB943" i="8"/>
  <c r="AB942" i="8"/>
  <c r="AB940" i="8"/>
  <c r="AB939" i="8"/>
  <c r="AB938" i="8"/>
  <c r="AB937" i="8"/>
  <c r="AB936" i="8"/>
  <c r="N936" i="8"/>
  <c r="N937" i="8" s="1"/>
  <c r="N940" i="8" s="1"/>
  <c r="M936" i="8"/>
  <c r="M939" i="8" s="1"/>
  <c r="L936" i="8"/>
  <c r="L939" i="8" s="1"/>
  <c r="I936" i="8"/>
  <c r="I939" i="8" s="1"/>
  <c r="H939" i="8"/>
  <c r="AB935" i="8"/>
  <c r="AE934" i="8"/>
  <c r="Z934" i="8"/>
  <c r="AB934" i="8" s="1"/>
  <c r="Q934" i="8"/>
  <c r="P934" i="8"/>
  <c r="P936" i="8" s="1"/>
  <c r="P937" i="8" s="1"/>
  <c r="P940" i="8" s="1"/>
  <c r="O934" i="8"/>
  <c r="O936" i="8" s="1"/>
  <c r="K934" i="8"/>
  <c r="J934" i="8"/>
  <c r="AB933" i="8"/>
  <c r="AB932" i="8"/>
  <c r="AB930" i="8"/>
  <c r="AB929" i="8"/>
  <c r="AB927" i="8"/>
  <c r="AB926" i="8"/>
  <c r="AB925" i="8"/>
  <c r="N925" i="8"/>
  <c r="N926" i="8" s="1"/>
  <c r="N930" i="8" s="1"/>
  <c r="M925" i="8"/>
  <c r="M929" i="8" s="1"/>
  <c r="L925" i="8"/>
  <c r="L929" i="8" s="1"/>
  <c r="I925" i="8"/>
  <c r="I929" i="8" s="1"/>
  <c r="H929" i="8"/>
  <c r="AB923" i="8"/>
  <c r="AE922" i="8"/>
  <c r="Z922" i="8"/>
  <c r="AB922" i="8" s="1"/>
  <c r="Q922" i="8"/>
  <c r="Q925" i="8" s="1"/>
  <c r="P922" i="8"/>
  <c r="O922" i="8"/>
  <c r="O925" i="8" s="1"/>
  <c r="K922" i="8"/>
  <c r="J922" i="8"/>
  <c r="AB921" i="8"/>
  <c r="AB920" i="8"/>
  <c r="L888" i="8"/>
  <c r="AA17" i="3"/>
  <c r="D56" i="3"/>
  <c r="AA56" i="3" s="1"/>
  <c r="D41" i="3"/>
  <c r="AA41" i="3" s="1"/>
  <c r="D20" i="3"/>
  <c r="AA20" i="3" s="1"/>
  <c r="D53" i="3"/>
  <c r="AA53" i="3" s="1"/>
  <c r="D36" i="3"/>
  <c r="AA36" i="3" s="1"/>
  <c r="D35" i="3"/>
  <c r="AA35" i="3" s="1"/>
  <c r="D89" i="3"/>
  <c r="AA89" i="3" s="1"/>
  <c r="D77" i="3"/>
  <c r="AA77" i="3" s="1"/>
  <c r="AA96" i="3"/>
  <c r="D99" i="3"/>
  <c r="AA99" i="3" s="1"/>
  <c r="D75" i="3"/>
  <c r="AA75" i="3" s="1"/>
  <c r="D94" i="3"/>
  <c r="AA94" i="3" s="1"/>
  <c r="D90" i="3"/>
  <c r="AA90" i="3" s="1"/>
  <c r="D19" i="3"/>
  <c r="AA19" i="3" s="1"/>
  <c r="D30" i="3"/>
  <c r="AA30" i="3" s="1"/>
  <c r="D47" i="3"/>
  <c r="AA47" i="3" s="1"/>
  <c r="D39" i="3"/>
  <c r="AA39" i="3" s="1"/>
  <c r="D119" i="3"/>
  <c r="I951" i="8" l="1"/>
  <c r="K947" i="8"/>
  <c r="K951" i="8" s="1"/>
  <c r="K946" i="8"/>
  <c r="K936" i="8"/>
  <c r="K937" i="8" s="1"/>
  <c r="K940" i="8" s="1"/>
  <c r="K925" i="8"/>
  <c r="K924" i="8"/>
  <c r="K507" i="8"/>
  <c r="M499" i="8"/>
  <c r="M517" i="8" s="1"/>
  <c r="O517" i="8" s="1"/>
  <c r="R976" i="8"/>
  <c r="R978" i="8" s="1"/>
  <c r="R979" i="8" s="1"/>
  <c r="R982" i="8" s="1"/>
  <c r="H511" i="8"/>
  <c r="N939" i="8"/>
  <c r="S944" i="8"/>
  <c r="S947" i="8" s="1"/>
  <c r="S951" i="8" s="1"/>
  <c r="M948" i="8"/>
  <c r="M952" i="8" s="1"/>
  <c r="H959" i="8"/>
  <c r="H962" i="8" s="1"/>
  <c r="L508" i="8"/>
  <c r="L512" i="8" s="1"/>
  <c r="I969" i="8"/>
  <c r="I972" i="8" s="1"/>
  <c r="H940" i="8"/>
  <c r="O507" i="8"/>
  <c r="O511" i="8" s="1"/>
  <c r="M969" i="8"/>
  <c r="M972" i="8" s="1"/>
  <c r="I948" i="8"/>
  <c r="I952" i="8" s="1"/>
  <c r="N961" i="8"/>
  <c r="O979" i="8"/>
  <c r="O982" i="8" s="1"/>
  <c r="O981" i="8"/>
  <c r="P981" i="8"/>
  <c r="P979" i="8"/>
  <c r="P982" i="8" s="1"/>
  <c r="R981" i="8"/>
  <c r="K979" i="8"/>
  <c r="K982" i="8" s="1"/>
  <c r="K981" i="8"/>
  <c r="Q978" i="8"/>
  <c r="H979" i="8"/>
  <c r="H982" i="8" s="1"/>
  <c r="L979" i="8"/>
  <c r="L982" i="8" s="1"/>
  <c r="N981" i="8"/>
  <c r="J978" i="8"/>
  <c r="I979" i="8"/>
  <c r="I982" i="8" s="1"/>
  <c r="M979" i="8"/>
  <c r="M982" i="8" s="1"/>
  <c r="S976" i="8"/>
  <c r="S978" i="8" s="1"/>
  <c r="K969" i="8"/>
  <c r="K972" i="8" s="1"/>
  <c r="K971" i="8"/>
  <c r="O969" i="8"/>
  <c r="O972" i="8" s="1"/>
  <c r="O971" i="8"/>
  <c r="P971" i="8"/>
  <c r="P969" i="8"/>
  <c r="P972" i="8" s="1"/>
  <c r="Q971" i="8"/>
  <c r="Q969" i="8"/>
  <c r="Q972" i="8" s="1"/>
  <c r="H969" i="8"/>
  <c r="H972" i="8" s="1"/>
  <c r="L969" i="8"/>
  <c r="L972" i="8" s="1"/>
  <c r="N971" i="8"/>
  <c r="R966" i="8"/>
  <c r="R968" i="8" s="1"/>
  <c r="J968" i="8"/>
  <c r="S966" i="8"/>
  <c r="S968" i="8" s="1"/>
  <c r="P507" i="8"/>
  <c r="P511" i="8" s="1"/>
  <c r="L959" i="8"/>
  <c r="L962" i="8" s="1"/>
  <c r="Q961" i="8"/>
  <c r="Q959" i="8"/>
  <c r="Q962" i="8" s="1"/>
  <c r="O959" i="8"/>
  <c r="O962" i="8" s="1"/>
  <c r="O961" i="8"/>
  <c r="K959" i="8"/>
  <c r="K962" i="8" s="1"/>
  <c r="K961" i="8"/>
  <c r="P959" i="8"/>
  <c r="P962" i="8" s="1"/>
  <c r="P961" i="8"/>
  <c r="R956" i="8"/>
  <c r="R958" i="8" s="1"/>
  <c r="J958" i="8"/>
  <c r="I959" i="8"/>
  <c r="I962" i="8" s="1"/>
  <c r="M959" i="8"/>
  <c r="M962" i="8" s="1"/>
  <c r="S956" i="8"/>
  <c r="S958" i="8" s="1"/>
  <c r="K948" i="8"/>
  <c r="K952" i="8" s="1"/>
  <c r="O948" i="8"/>
  <c r="O952" i="8" s="1"/>
  <c r="O951" i="8"/>
  <c r="Q951" i="8"/>
  <c r="Q948" i="8"/>
  <c r="Q952" i="8" s="1"/>
  <c r="L948" i="8"/>
  <c r="L952" i="8" s="1"/>
  <c r="N951" i="8"/>
  <c r="R944" i="8"/>
  <c r="R947" i="8" s="1"/>
  <c r="J947" i="8"/>
  <c r="R934" i="8"/>
  <c r="R936" i="8" s="1"/>
  <c r="R937" i="8" s="1"/>
  <c r="R940" i="8" s="1"/>
  <c r="L937" i="8"/>
  <c r="L940" i="8" s="1"/>
  <c r="O937" i="8"/>
  <c r="O940" i="8" s="1"/>
  <c r="O939" i="8"/>
  <c r="P939" i="8"/>
  <c r="K939" i="8"/>
  <c r="Q936" i="8"/>
  <c r="J936" i="8"/>
  <c r="I937" i="8"/>
  <c r="I940" i="8" s="1"/>
  <c r="M937" i="8"/>
  <c r="M940" i="8" s="1"/>
  <c r="S934" i="8"/>
  <c r="S936" i="8" s="1"/>
  <c r="O926" i="8"/>
  <c r="O930" i="8" s="1"/>
  <c r="O929" i="8"/>
  <c r="K926" i="8"/>
  <c r="K930" i="8" s="1"/>
  <c r="K929" i="8"/>
  <c r="P929" i="8"/>
  <c r="Q929" i="8"/>
  <c r="Q926" i="8"/>
  <c r="Q930" i="8" s="1"/>
  <c r="L926" i="8"/>
  <c r="L930" i="8" s="1"/>
  <c r="N929" i="8"/>
  <c r="R922" i="8"/>
  <c r="R925" i="8" s="1"/>
  <c r="J925" i="8"/>
  <c r="I926" i="8"/>
  <c r="M926" i="8"/>
  <c r="M930" i="8" s="1"/>
  <c r="S922" i="8"/>
  <c r="S925" i="8" s="1"/>
  <c r="O1006" i="8" l="1"/>
  <c r="I950" i="8"/>
  <c r="H950" i="8"/>
  <c r="K950" i="8"/>
  <c r="I930" i="8"/>
  <c r="I928" i="8"/>
  <c r="J928" i="8" s="1"/>
  <c r="K928" i="8"/>
  <c r="N1006" i="8"/>
  <c r="S948" i="8"/>
  <c r="S952" i="8" s="1"/>
  <c r="S979" i="8"/>
  <c r="S982" i="8" s="1"/>
  <c r="S981" i="8"/>
  <c r="J979" i="8"/>
  <c r="J982" i="8" s="1"/>
  <c r="J981" i="8"/>
  <c r="Q981" i="8"/>
  <c r="Q979" i="8"/>
  <c r="Q982" i="8" s="1"/>
  <c r="R969" i="8"/>
  <c r="R972" i="8" s="1"/>
  <c r="R971" i="8"/>
  <c r="S969" i="8"/>
  <c r="S972" i="8" s="1"/>
  <c r="S971" i="8"/>
  <c r="J969" i="8"/>
  <c r="J972" i="8" s="1"/>
  <c r="J971" i="8"/>
  <c r="J1006" i="8" s="1"/>
  <c r="S959" i="8"/>
  <c r="S962" i="8" s="1"/>
  <c r="S961" i="8"/>
  <c r="R961" i="8"/>
  <c r="R959" i="8"/>
  <c r="R962" i="8" s="1"/>
  <c r="J961" i="8"/>
  <c r="J959" i="8"/>
  <c r="J962" i="8" s="1"/>
  <c r="R948" i="8"/>
  <c r="R952" i="8" s="1"/>
  <c r="R951" i="8"/>
  <c r="P952" i="8"/>
  <c r="J948" i="8"/>
  <c r="J952" i="8" s="1"/>
  <c r="J951" i="8"/>
  <c r="R939" i="8"/>
  <c r="S937" i="8"/>
  <c r="S940" i="8" s="1"/>
  <c r="S939" i="8"/>
  <c r="Q939" i="8"/>
  <c r="Q937" i="8"/>
  <c r="Q940" i="8" s="1"/>
  <c r="J937" i="8"/>
  <c r="J940" i="8" s="1"/>
  <c r="J939" i="8"/>
  <c r="S926" i="8"/>
  <c r="S930" i="8" s="1"/>
  <c r="S929" i="8"/>
  <c r="R926" i="8"/>
  <c r="R930" i="8" s="1"/>
  <c r="R929" i="8"/>
  <c r="J926" i="8"/>
  <c r="J930" i="8" s="1"/>
  <c r="J929" i="8"/>
  <c r="P950" i="8" l="1"/>
  <c r="J950" i="8"/>
  <c r="H1089" i="8" l="1"/>
  <c r="AB1086" i="8"/>
  <c r="AB1085" i="8"/>
  <c r="M1085" i="8"/>
  <c r="L1085" i="8"/>
  <c r="L1086" i="8" s="1"/>
  <c r="I1085" i="8"/>
  <c r="H1085" i="8"/>
  <c r="H1086" i="8" s="1"/>
  <c r="AB1084" i="8"/>
  <c r="AB1083" i="8"/>
  <c r="AB1082" i="8"/>
  <c r="M1082" i="8"/>
  <c r="M1083" i="8" s="1"/>
  <c r="L1082" i="8"/>
  <c r="L1083" i="8" s="1"/>
  <c r="I1082" i="8"/>
  <c r="I1083" i="8" s="1"/>
  <c r="H1082" i="8"/>
  <c r="AB1081" i="8"/>
  <c r="AE1080" i="8"/>
  <c r="Z1080" i="8"/>
  <c r="AB1080" i="8" s="1"/>
  <c r="Q1080" i="8"/>
  <c r="P1080" i="8"/>
  <c r="O1080" i="8"/>
  <c r="O1082" i="8" s="1"/>
  <c r="O1083" i="8" s="1"/>
  <c r="K1080" i="8"/>
  <c r="AB1079" i="8"/>
  <c r="AB1078" i="8"/>
  <c r="R1080" i="8" l="1"/>
  <c r="O1085" i="8"/>
  <c r="Q1085" i="8"/>
  <c r="Q1083" i="8"/>
  <c r="K1082" i="8"/>
  <c r="P1086" i="8"/>
  <c r="P1082" i="8"/>
  <c r="S1080" i="8"/>
  <c r="Q1082" i="8"/>
  <c r="H1083" i="8"/>
  <c r="K1083" i="8" s="1"/>
  <c r="I1086" i="8"/>
  <c r="Q1086" i="8" s="1"/>
  <c r="K1085" i="8"/>
  <c r="P1085" i="8"/>
  <c r="H861" i="8"/>
  <c r="M1016" i="8"/>
  <c r="L1016" i="8"/>
  <c r="H1016" i="8"/>
  <c r="H1017" i="8" s="1"/>
  <c r="AE1013" i="8"/>
  <c r="Z1013" i="8"/>
  <c r="AB1013" i="8" s="1"/>
  <c r="P1013" i="8"/>
  <c r="O1013" i="8"/>
  <c r="I1013" i="8"/>
  <c r="Q1013" i="8" s="1"/>
  <c r="P1585" i="8"/>
  <c r="L455" i="8"/>
  <c r="P454" i="8"/>
  <c r="S1082" i="8" l="1"/>
  <c r="S1085" i="8"/>
  <c r="R1013" i="8"/>
  <c r="K1086" i="8"/>
  <c r="R1082" i="8"/>
  <c r="R1085" i="8"/>
  <c r="R1086" i="8"/>
  <c r="S1086" i="8"/>
  <c r="P1083" i="8"/>
  <c r="H1019" i="8"/>
  <c r="S1013" i="8"/>
  <c r="K1013" i="8"/>
  <c r="J1013" i="8"/>
  <c r="E35" i="22"/>
  <c r="I35" i="22" s="1"/>
  <c r="I32" i="22"/>
  <c r="E34" i="22"/>
  <c r="I34" i="22" s="1"/>
  <c r="E33" i="22"/>
  <c r="I33" i="22" s="1"/>
  <c r="I14" i="22"/>
  <c r="H16" i="22"/>
  <c r="G16" i="22"/>
  <c r="F16" i="22"/>
  <c r="E16" i="22"/>
  <c r="F5" i="22"/>
  <c r="H12" i="22"/>
  <c r="G12" i="22"/>
  <c r="F12" i="22"/>
  <c r="E12" i="22"/>
  <c r="I11" i="22"/>
  <c r="I10" i="22"/>
  <c r="C28" i="22"/>
  <c r="C20" i="22"/>
  <c r="C12" i="22"/>
  <c r="F3" i="22"/>
  <c r="F2" i="22"/>
  <c r="E4" i="22"/>
  <c r="D4" i="22"/>
  <c r="C4" i="22"/>
  <c r="F4" i="22" l="1"/>
  <c r="I12" i="22"/>
  <c r="I36" i="22"/>
  <c r="S1083" i="8"/>
  <c r="R1083" i="8"/>
  <c r="K70" i="18"/>
  <c r="J70" i="18"/>
  <c r="I70" i="18"/>
  <c r="J115" i="18" l="1"/>
  <c r="H115" i="18"/>
  <c r="G115" i="18"/>
  <c r="K115" i="18" l="1"/>
  <c r="Z1766" i="8"/>
  <c r="Z1765" i="8"/>
  <c r="J1764" i="8"/>
  <c r="AE20" i="8"/>
  <c r="Z1768" i="8"/>
  <c r="Z1767" i="8"/>
  <c r="Z1764" i="8"/>
  <c r="Z1763" i="8"/>
  <c r="Z1762" i="8"/>
  <c r="Z1760" i="8"/>
  <c r="Z1758" i="8"/>
  <c r="Z1756" i="8"/>
  <c r="Z1755" i="8"/>
  <c r="Z1729" i="8"/>
  <c r="Z1728" i="8"/>
  <c r="Z1727" i="8"/>
  <c r="Z1726" i="8"/>
  <c r="Z1725" i="8"/>
  <c r="H1645" i="8"/>
  <c r="Z1631" i="8"/>
  <c r="Z1630" i="8"/>
  <c r="Z1629" i="8"/>
  <c r="Z1628" i="8"/>
  <c r="Z1627" i="8"/>
  <c r="Z1626" i="8"/>
  <c r="Z1625" i="8"/>
  <c r="Z1624" i="8"/>
  <c r="Z1623" i="8"/>
  <c r="Z1622" i="8"/>
  <c r="Z1621" i="8"/>
  <c r="Z1620" i="8"/>
  <c r="Z1617" i="8"/>
  <c r="Z1598" i="8"/>
  <c r="Z1597" i="8"/>
  <c r="Z1596" i="8"/>
  <c r="Z1595" i="8"/>
  <c r="Z1594" i="8"/>
  <c r="Z1593" i="8"/>
  <c r="Z1590" i="8"/>
  <c r="Z1589" i="8"/>
  <c r="Z1588" i="8"/>
  <c r="Z1586" i="8"/>
  <c r="Z1585" i="8"/>
  <c r="Z1535" i="8"/>
  <c r="Z1482" i="8"/>
  <c r="Z1481" i="8"/>
  <c r="Z1480" i="8"/>
  <c r="Z1479" i="8"/>
  <c r="Z1478" i="8"/>
  <c r="Z1477" i="8"/>
  <c r="Z1476" i="8"/>
  <c r="Z1475" i="8"/>
  <c r="Z1474" i="8"/>
  <c r="Z1473" i="8"/>
  <c r="Z1472" i="8"/>
  <c r="Z1471" i="8"/>
  <c r="Z1470" i="8"/>
  <c r="Z1469" i="8"/>
  <c r="Z1468" i="8"/>
  <c r="Z1467" i="8"/>
  <c r="Z1466" i="8"/>
  <c r="Z1465" i="8"/>
  <c r="Z1464" i="8"/>
  <c r="Z1463" i="8"/>
  <c r="Z1462" i="8"/>
  <c r="Z1461" i="8"/>
  <c r="Z1460" i="8"/>
  <c r="Z1459" i="8"/>
  <c r="Z1458" i="8"/>
  <c r="Z1457" i="8"/>
  <c r="Z1456" i="8"/>
  <c r="Z1455" i="8"/>
  <c r="Z1454" i="8"/>
  <c r="Z1453" i="8"/>
  <c r="Z1452" i="8"/>
  <c r="Z1451" i="8"/>
  <c r="Z1450" i="8"/>
  <c r="Z1449" i="8"/>
  <c r="Z1448" i="8"/>
  <c r="Z1447" i="8"/>
  <c r="Z1446" i="8"/>
  <c r="Z1445" i="8"/>
  <c r="Z1386" i="8"/>
  <c r="Z1385" i="8"/>
  <c r="Z1384" i="8"/>
  <c r="Z1383" i="8"/>
  <c r="Z1382" i="8"/>
  <c r="Z1381" i="8"/>
  <c r="Z1380" i="8"/>
  <c r="Z1379" i="8"/>
  <c r="Z1378" i="8"/>
  <c r="Z1377" i="8"/>
  <c r="Z1376" i="8"/>
  <c r="Z1375" i="8"/>
  <c r="Z1374" i="8"/>
  <c r="Z1373" i="8"/>
  <c r="Z1372" i="8"/>
  <c r="Z1371" i="8"/>
  <c r="Z1370" i="8"/>
  <c r="Z1369" i="8"/>
  <c r="Z1368" i="8"/>
  <c r="Z1367" i="8"/>
  <c r="Z1366" i="8"/>
  <c r="Z1365" i="8"/>
  <c r="Z1364" i="8"/>
  <c r="Z1363" i="8"/>
  <c r="Z1362" i="8"/>
  <c r="Z1361" i="8"/>
  <c r="Z1360" i="8"/>
  <c r="Z1359" i="8"/>
  <c r="Z1358" i="8"/>
  <c r="Z1357" i="8"/>
  <c r="Z1356" i="8"/>
  <c r="Z1355" i="8"/>
  <c r="Z1354" i="8"/>
  <c r="Z1353" i="8"/>
  <c r="Z1352" i="8"/>
  <c r="Z1351" i="8"/>
  <c r="Z1350" i="8"/>
  <c r="Z1349" i="8"/>
  <c r="Z1348" i="8"/>
  <c r="Z1347" i="8"/>
  <c r="Z1346" i="8"/>
  <c r="Z1345" i="8"/>
  <c r="Z1344" i="8"/>
  <c r="Z1343" i="8"/>
  <c r="Z1342" i="8"/>
  <c r="Z1341" i="8"/>
  <c r="Z1340" i="8"/>
  <c r="Z1339" i="8"/>
  <c r="Z1338" i="8"/>
  <c r="Z1337" i="8"/>
  <c r="Z1307" i="8"/>
  <c r="Z1290" i="8"/>
  <c r="Z1280" i="8"/>
  <c r="Z1265" i="8"/>
  <c r="Z1255" i="8"/>
  <c r="Z1240" i="8"/>
  <c r="Z1230" i="8"/>
  <c r="Z1220" i="8"/>
  <c r="Z1198" i="8"/>
  <c r="Z1188" i="8"/>
  <c r="Z1176" i="8"/>
  <c r="Z1164" i="8"/>
  <c r="Z1154" i="8"/>
  <c r="Z1142" i="8"/>
  <c r="Z1130" i="8"/>
  <c r="Z1120" i="8"/>
  <c r="Z1105" i="8"/>
  <c r="Z1095" i="8"/>
  <c r="Z1070" i="8"/>
  <c r="Z1055" i="8"/>
  <c r="Z1054" i="8"/>
  <c r="Z1053" i="8"/>
  <c r="Z1041" i="8"/>
  <c r="Z1040" i="8"/>
  <c r="Z1039" i="8"/>
  <c r="Z1024" i="8"/>
  <c r="Z1014" i="8"/>
  <c r="Z910" i="8"/>
  <c r="Z898" i="8"/>
  <c r="Z884" i="8"/>
  <c r="Z859" i="8"/>
  <c r="Z858" i="8"/>
  <c r="Z857" i="8"/>
  <c r="Z837" i="8"/>
  <c r="Z836" i="8"/>
  <c r="Z835" i="8"/>
  <c r="Z816" i="8"/>
  <c r="Z815" i="8"/>
  <c r="Z801" i="8"/>
  <c r="Z791" i="8"/>
  <c r="Z758" i="8"/>
  <c r="Z742" i="8"/>
  <c r="Z731" i="8"/>
  <c r="Z721" i="8"/>
  <c r="Z680" i="8"/>
  <c r="Z679" i="8"/>
  <c r="Z678" i="8"/>
  <c r="Z677" i="8"/>
  <c r="Z676" i="8"/>
  <c r="Z675" i="8"/>
  <c r="Z674" i="8"/>
  <c r="Z673" i="8"/>
  <c r="Z672" i="8"/>
  <c r="Z671" i="8"/>
  <c r="Z670" i="8"/>
  <c r="Z669" i="8"/>
  <c r="Z668" i="8"/>
  <c r="Z667" i="8"/>
  <c r="Z666" i="8"/>
  <c r="Z665" i="8"/>
  <c r="Z664" i="8"/>
  <c r="Z663" i="8"/>
  <c r="Z662" i="8"/>
  <c r="Z661" i="8"/>
  <c r="Z660" i="8"/>
  <c r="Z659" i="8"/>
  <c r="Z658" i="8"/>
  <c r="Z657" i="8"/>
  <c r="Z656" i="8"/>
  <c r="Z655" i="8"/>
  <c r="Z654" i="8"/>
  <c r="Z653" i="8"/>
  <c r="Z652" i="8"/>
  <c r="Z651" i="8"/>
  <c r="Z650" i="8"/>
  <c r="Z649" i="8"/>
  <c r="Z648" i="8"/>
  <c r="Z647" i="8"/>
  <c r="Z646" i="8"/>
  <c r="Z645" i="8"/>
  <c r="Z644" i="8"/>
  <c r="Z643" i="8"/>
  <c r="Z642" i="8"/>
  <c r="Z641" i="8"/>
  <c r="Z577" i="8"/>
  <c r="Z576" i="8"/>
  <c r="Z575" i="8"/>
  <c r="Z574" i="8"/>
  <c r="Z573" i="8"/>
  <c r="Z572" i="8"/>
  <c r="Z571" i="8"/>
  <c r="Z570" i="8"/>
  <c r="Z569" i="8"/>
  <c r="Z568" i="8"/>
  <c r="Z567" i="8"/>
  <c r="Z566" i="8"/>
  <c r="Z565" i="8"/>
  <c r="Z564" i="8"/>
  <c r="Z563" i="8"/>
  <c r="Z562" i="8"/>
  <c r="Z561" i="8"/>
  <c r="Z560" i="8"/>
  <c r="Z559" i="8"/>
  <c r="Z558" i="8"/>
  <c r="Z557" i="8"/>
  <c r="Z556" i="8"/>
  <c r="Z555" i="8"/>
  <c r="Z554" i="8"/>
  <c r="Z553" i="8"/>
  <c r="Z552" i="8"/>
  <c r="Z551" i="8"/>
  <c r="Z550" i="8"/>
  <c r="Z549" i="8"/>
  <c r="Z548" i="8"/>
  <c r="Z547" i="8"/>
  <c r="Z546" i="8"/>
  <c r="Z545" i="8"/>
  <c r="Z544" i="8"/>
  <c r="Z543" i="8"/>
  <c r="Z542" i="8"/>
  <c r="Z541" i="8"/>
  <c r="Z540" i="8"/>
  <c r="Z539" i="8"/>
  <c r="Z538" i="8"/>
  <c r="Z537" i="8"/>
  <c r="Z536" i="8"/>
  <c r="Z534" i="8"/>
  <c r="Z533" i="8"/>
  <c r="Z532" i="8"/>
  <c r="Z531" i="8"/>
  <c r="Z530" i="8"/>
  <c r="Z529" i="8"/>
  <c r="Z528" i="8"/>
  <c r="Z527" i="8"/>
  <c r="Z526" i="8"/>
  <c r="Z525" i="8"/>
  <c r="Z524" i="8"/>
  <c r="Z523" i="8"/>
  <c r="Z504" i="8"/>
  <c r="Z490" i="8"/>
  <c r="Z480" i="8"/>
  <c r="Z479" i="8"/>
  <c r="Z450" i="8"/>
  <c r="Z438" i="8"/>
  <c r="Z427" i="8"/>
  <c r="Z417" i="8"/>
  <c r="Z416" i="8"/>
  <c r="Z406" i="8"/>
  <c r="Z396" i="8"/>
  <c r="Z395" i="8"/>
  <c r="Z355" i="8"/>
  <c r="Z354" i="8"/>
  <c r="Z353" i="8"/>
  <c r="Z234" i="8"/>
  <c r="Z233" i="8"/>
  <c r="Z232" i="8"/>
  <c r="Z231" i="8"/>
  <c r="Z230" i="8"/>
  <c r="Z229" i="8"/>
  <c r="Z228" i="8"/>
  <c r="Z227" i="8"/>
  <c r="Z226" i="8"/>
  <c r="Z225" i="8"/>
  <c r="Z224" i="8"/>
  <c r="Z223" i="8"/>
  <c r="Z222" i="8"/>
  <c r="Z221" i="8"/>
  <c r="Z220" i="8"/>
  <c r="Z219" i="8"/>
  <c r="Z218" i="8"/>
  <c r="Z217" i="8"/>
  <c r="Z216" i="8"/>
  <c r="Z215" i="8"/>
  <c r="Z214" i="8"/>
  <c r="Z213" i="8"/>
  <c r="Z212" i="8"/>
  <c r="Z211" i="8"/>
  <c r="Z210" i="8"/>
  <c r="Z209" i="8"/>
  <c r="Z208" i="8"/>
  <c r="Z207" i="8"/>
  <c r="Z206" i="8"/>
  <c r="Z205" i="8"/>
  <c r="Z204" i="8"/>
  <c r="Z203" i="8"/>
  <c r="Z202" i="8"/>
  <c r="Z201" i="8"/>
  <c r="Z54" i="8"/>
  <c r="Z53" i="8"/>
  <c r="Z52" i="8"/>
  <c r="Z51" i="8"/>
  <c r="Z50" i="8"/>
  <c r="Z49" i="8"/>
  <c r="Z48" i="8"/>
  <c r="Z47" i="8"/>
  <c r="Z46" i="8"/>
  <c r="Z45" i="8"/>
  <c r="Z44" i="8"/>
  <c r="Z43" i="8"/>
  <c r="Z42" i="8"/>
  <c r="Z41" i="8"/>
  <c r="Z40" i="8"/>
  <c r="Z39" i="8"/>
  <c r="Z38" i="8"/>
  <c r="Z37" i="8"/>
  <c r="Z36" i="8"/>
  <c r="Z35" i="8"/>
  <c r="Z34" i="8"/>
  <c r="Z33" i="8"/>
  <c r="Z32" i="8"/>
  <c r="Z31" i="8"/>
  <c r="AB31" i="8" s="1"/>
  <c r="Z30" i="8"/>
  <c r="Z29" i="8"/>
  <c r="Z28" i="8"/>
  <c r="Z27" i="8"/>
  <c r="Z26" i="8"/>
  <c r="Z25" i="8"/>
  <c r="Z24" i="8"/>
  <c r="Z23" i="8"/>
  <c r="Z22" i="8"/>
  <c r="Z21" i="8"/>
  <c r="Z20" i="8"/>
  <c r="AE1768" i="8"/>
  <c r="AE1767" i="8"/>
  <c r="AE1766" i="8"/>
  <c r="AE1765" i="8"/>
  <c r="AE1764" i="8"/>
  <c r="AE1763" i="8"/>
  <c r="AE1762" i="8"/>
  <c r="AE1761" i="8"/>
  <c r="AE1760" i="8"/>
  <c r="AE1759" i="8"/>
  <c r="AE1758" i="8"/>
  <c r="AE1757" i="8"/>
  <c r="AE1756" i="8"/>
  <c r="AE1755" i="8"/>
  <c r="AE1729" i="8"/>
  <c r="AE1725" i="8"/>
  <c r="AE1631" i="8"/>
  <c r="AE1630" i="8"/>
  <c r="AE1629" i="8"/>
  <c r="AE1628" i="8"/>
  <c r="AE1627" i="8"/>
  <c r="AE1626" i="8"/>
  <c r="AE1625" i="8"/>
  <c r="AE1624" i="8"/>
  <c r="AE1623" i="8"/>
  <c r="AE1622" i="8"/>
  <c r="AE1621" i="8"/>
  <c r="AE1620" i="8"/>
  <c r="AE1619" i="8"/>
  <c r="AE1618" i="8"/>
  <c r="AE1617" i="8"/>
  <c r="AE1616" i="8"/>
  <c r="AE1615" i="8"/>
  <c r="AE1614" i="8"/>
  <c r="AE1613" i="8"/>
  <c r="AE1612" i="8"/>
  <c r="AE1611" i="8"/>
  <c r="AE1610" i="8"/>
  <c r="AE1609" i="8"/>
  <c r="AE1608" i="8"/>
  <c r="AE1607" i="8"/>
  <c r="AE1606" i="8"/>
  <c r="AE1605" i="8"/>
  <c r="AE1604" i="8"/>
  <c r="AE1603" i="8"/>
  <c r="AE1602" i="8"/>
  <c r="AE1601" i="8"/>
  <c r="AE1600" i="8"/>
  <c r="AE1599" i="8"/>
  <c r="AE1598" i="8"/>
  <c r="AE1597" i="8"/>
  <c r="AE1596" i="8"/>
  <c r="AE1595" i="8"/>
  <c r="AE1594" i="8"/>
  <c r="AE1593" i="8"/>
  <c r="AE1592" i="8"/>
  <c r="AE1591" i="8"/>
  <c r="AE1590" i="8"/>
  <c r="AE1589" i="8"/>
  <c r="AE1588" i="8"/>
  <c r="AE1587" i="8"/>
  <c r="AE1586" i="8"/>
  <c r="AE1585" i="8"/>
  <c r="AE1535" i="8"/>
  <c r="AE1482" i="8"/>
  <c r="AE1481" i="8"/>
  <c r="AE1480" i="8"/>
  <c r="AE1479" i="8"/>
  <c r="AE1478" i="8"/>
  <c r="AE1477" i="8"/>
  <c r="AE1476" i="8"/>
  <c r="AE1475" i="8"/>
  <c r="AE1474" i="8"/>
  <c r="AE1473" i="8"/>
  <c r="AE1472" i="8"/>
  <c r="AE1471" i="8"/>
  <c r="AE1470" i="8"/>
  <c r="AE1469" i="8"/>
  <c r="AE1468" i="8"/>
  <c r="AE1467" i="8"/>
  <c r="AE1466" i="8"/>
  <c r="AE1465" i="8"/>
  <c r="AE1464" i="8"/>
  <c r="AE1463" i="8"/>
  <c r="AE1462" i="8"/>
  <c r="AE1461" i="8"/>
  <c r="AE1460" i="8"/>
  <c r="AE1459" i="8"/>
  <c r="AE1458" i="8"/>
  <c r="AE1457" i="8"/>
  <c r="AE1456" i="8"/>
  <c r="AE1455" i="8"/>
  <c r="AE1454" i="8"/>
  <c r="AE1453" i="8"/>
  <c r="AE1452" i="8"/>
  <c r="AE1451" i="8"/>
  <c r="AE1450" i="8"/>
  <c r="AE1449" i="8"/>
  <c r="AE1448" i="8"/>
  <c r="AE1447" i="8"/>
  <c r="AE1446" i="8"/>
  <c r="AE1445" i="8"/>
  <c r="AE1386" i="8"/>
  <c r="AE1385" i="8"/>
  <c r="AE1384" i="8"/>
  <c r="AE1383" i="8"/>
  <c r="AE1382" i="8"/>
  <c r="AE1381" i="8"/>
  <c r="AE1380" i="8"/>
  <c r="AE1379" i="8"/>
  <c r="AE1378" i="8"/>
  <c r="AE1377" i="8"/>
  <c r="AE1376" i="8"/>
  <c r="AE1375" i="8"/>
  <c r="AE1374" i="8"/>
  <c r="AE1373" i="8"/>
  <c r="AE1372" i="8"/>
  <c r="AE1371" i="8"/>
  <c r="AE1370" i="8"/>
  <c r="AE1369" i="8"/>
  <c r="AE1368" i="8"/>
  <c r="AE1367" i="8"/>
  <c r="AE1366" i="8"/>
  <c r="AE1365" i="8"/>
  <c r="AE1364" i="8"/>
  <c r="AE1363" i="8"/>
  <c r="AE1362" i="8"/>
  <c r="AE1361" i="8"/>
  <c r="AE1360" i="8"/>
  <c r="AE1359" i="8"/>
  <c r="AE1358" i="8"/>
  <c r="AE1357" i="8"/>
  <c r="AE1356" i="8"/>
  <c r="AE1355" i="8"/>
  <c r="AE1354" i="8"/>
  <c r="AE1353" i="8"/>
  <c r="AE1352" i="8"/>
  <c r="AE1351" i="8"/>
  <c r="AE1350" i="8"/>
  <c r="AE1349" i="8"/>
  <c r="AE1348" i="8"/>
  <c r="AE1347" i="8"/>
  <c r="AE1346" i="8"/>
  <c r="AE1345" i="8"/>
  <c r="AE1344" i="8"/>
  <c r="AE1343" i="8"/>
  <c r="AE1342" i="8"/>
  <c r="AE1341" i="8"/>
  <c r="AE1340" i="8"/>
  <c r="AE1339" i="8"/>
  <c r="AE1338" i="8"/>
  <c r="AE1337" i="8"/>
  <c r="AE1307" i="8"/>
  <c r="AE1290" i="8"/>
  <c r="AE1280" i="8"/>
  <c r="AE1265" i="8"/>
  <c r="AE1255" i="8"/>
  <c r="AE1240" i="8"/>
  <c r="AE1230" i="8"/>
  <c r="AE1220" i="8"/>
  <c r="AE1198" i="8"/>
  <c r="AE1188" i="8"/>
  <c r="AE1176" i="8"/>
  <c r="AE1164" i="8"/>
  <c r="AE1154" i="8"/>
  <c r="AE1142" i="8"/>
  <c r="AE1130" i="8"/>
  <c r="AE1120" i="8"/>
  <c r="AE1105" i="8"/>
  <c r="AE1095" i="8"/>
  <c r="AE1070" i="8"/>
  <c r="AE1055" i="8"/>
  <c r="AE1054" i="8"/>
  <c r="AE1053" i="8"/>
  <c r="AE1041" i="8"/>
  <c r="AE1040" i="8"/>
  <c r="AE1039" i="8"/>
  <c r="AE1024" i="8"/>
  <c r="AE1014" i="8"/>
  <c r="AE910" i="8"/>
  <c r="AE898" i="8"/>
  <c r="AE884" i="8"/>
  <c r="AE859" i="8"/>
  <c r="AE858" i="8"/>
  <c r="AE857" i="8"/>
  <c r="AE837" i="8"/>
  <c r="AE836" i="8"/>
  <c r="AE835" i="8"/>
  <c r="AE816" i="8"/>
  <c r="AE815" i="8"/>
  <c r="AE801" i="8"/>
  <c r="AE791" i="8"/>
  <c r="AE758" i="8"/>
  <c r="AE742" i="8"/>
  <c r="AE731" i="8"/>
  <c r="AE721" i="8"/>
  <c r="AE680" i="8"/>
  <c r="AE679" i="8"/>
  <c r="AE678" i="8"/>
  <c r="AE677" i="8"/>
  <c r="AE676" i="8"/>
  <c r="AE675" i="8"/>
  <c r="AE674" i="8"/>
  <c r="AE673" i="8"/>
  <c r="AE672" i="8"/>
  <c r="AE671" i="8"/>
  <c r="AE670" i="8"/>
  <c r="AE669" i="8"/>
  <c r="AE668" i="8"/>
  <c r="AE667" i="8"/>
  <c r="AE666" i="8"/>
  <c r="AE665" i="8"/>
  <c r="AE664" i="8"/>
  <c r="AE663" i="8"/>
  <c r="AE662" i="8"/>
  <c r="AE661" i="8"/>
  <c r="AE660" i="8"/>
  <c r="AE659" i="8"/>
  <c r="AE658" i="8"/>
  <c r="AE657" i="8"/>
  <c r="AE656" i="8"/>
  <c r="AE655" i="8"/>
  <c r="AE654" i="8"/>
  <c r="AE653" i="8"/>
  <c r="AE652" i="8"/>
  <c r="AE651" i="8"/>
  <c r="AE650" i="8"/>
  <c r="AE649" i="8"/>
  <c r="AE648" i="8"/>
  <c r="AE647" i="8"/>
  <c r="AE646" i="8"/>
  <c r="AE645" i="8"/>
  <c r="AE644" i="8"/>
  <c r="AE643" i="8"/>
  <c r="AE642" i="8"/>
  <c r="AE641" i="8"/>
  <c r="AE577" i="8"/>
  <c r="AE576" i="8"/>
  <c r="AE575" i="8"/>
  <c r="AE574" i="8"/>
  <c r="AE573" i="8"/>
  <c r="AE572" i="8"/>
  <c r="AE571" i="8"/>
  <c r="AE570" i="8"/>
  <c r="AE569" i="8"/>
  <c r="AE568" i="8"/>
  <c r="AE567" i="8"/>
  <c r="AE566" i="8"/>
  <c r="AE565" i="8"/>
  <c r="AE564" i="8"/>
  <c r="AE563" i="8"/>
  <c r="AE562" i="8"/>
  <c r="AE561" i="8"/>
  <c r="AE560" i="8"/>
  <c r="AE559" i="8"/>
  <c r="AE558" i="8"/>
  <c r="AE557" i="8"/>
  <c r="AE556" i="8"/>
  <c r="AE555" i="8"/>
  <c r="AE554" i="8"/>
  <c r="AE553" i="8"/>
  <c r="AE552" i="8"/>
  <c r="AE551" i="8"/>
  <c r="AE550" i="8"/>
  <c r="AE549" i="8"/>
  <c r="AE548" i="8"/>
  <c r="AE547" i="8"/>
  <c r="AE546" i="8"/>
  <c r="AE545" i="8"/>
  <c r="AE544" i="8"/>
  <c r="AE543" i="8"/>
  <c r="AE542" i="8"/>
  <c r="AE541" i="8"/>
  <c r="AE540" i="8"/>
  <c r="AE539" i="8"/>
  <c r="AE538" i="8"/>
  <c r="AE537" i="8"/>
  <c r="AE536" i="8"/>
  <c r="AE535" i="8"/>
  <c r="AE534" i="8"/>
  <c r="AE533" i="8"/>
  <c r="AE532" i="8"/>
  <c r="AE531" i="8"/>
  <c r="AE530" i="8"/>
  <c r="AE529" i="8"/>
  <c r="AE528" i="8"/>
  <c r="AE527" i="8"/>
  <c r="AE526" i="8"/>
  <c r="AE525" i="8"/>
  <c r="AE524" i="8"/>
  <c r="AE523" i="8"/>
  <c r="AE504" i="8"/>
  <c r="AE490" i="8"/>
  <c r="AE480" i="8"/>
  <c r="AE479" i="8"/>
  <c r="AE450" i="8"/>
  <c r="AE438" i="8"/>
  <c r="AE427" i="8"/>
  <c r="AE417" i="8"/>
  <c r="AE416" i="8"/>
  <c r="AE406" i="8"/>
  <c r="AE396" i="8"/>
  <c r="AE395" i="8"/>
  <c r="AE355" i="8"/>
  <c r="AE354" i="8"/>
  <c r="AE353" i="8"/>
  <c r="AE234" i="8"/>
  <c r="AE233" i="8"/>
  <c r="AE232" i="8"/>
  <c r="AE231" i="8"/>
  <c r="AE230" i="8"/>
  <c r="AE229" i="8"/>
  <c r="AE228" i="8"/>
  <c r="AE227" i="8"/>
  <c r="AE226" i="8"/>
  <c r="AE225" i="8"/>
  <c r="AE224" i="8"/>
  <c r="AE223" i="8"/>
  <c r="AE222" i="8"/>
  <c r="AE221" i="8"/>
  <c r="AE220" i="8"/>
  <c r="AE219" i="8"/>
  <c r="AE218" i="8"/>
  <c r="AE217" i="8"/>
  <c r="AE216" i="8"/>
  <c r="AE215" i="8"/>
  <c r="AE214" i="8"/>
  <c r="AE213" i="8"/>
  <c r="AE212" i="8"/>
  <c r="AE211" i="8"/>
  <c r="AE210" i="8"/>
  <c r="AE209" i="8"/>
  <c r="AE208" i="8"/>
  <c r="AE207" i="8"/>
  <c r="AE206" i="8"/>
  <c r="AE205" i="8"/>
  <c r="AE204" i="8"/>
  <c r="AE203" i="8"/>
  <c r="AE202" i="8"/>
  <c r="AE201" i="8"/>
  <c r="AE54" i="8"/>
  <c r="AE53" i="8"/>
  <c r="AE52" i="8"/>
  <c r="AE51" i="8"/>
  <c r="AE50" i="8"/>
  <c r="AE49" i="8"/>
  <c r="AE48" i="8"/>
  <c r="AE47" i="8"/>
  <c r="AE46" i="8"/>
  <c r="AE45" i="8"/>
  <c r="AE44" i="8"/>
  <c r="AE43" i="8"/>
  <c r="AE42" i="8"/>
  <c r="AE41" i="8"/>
  <c r="AE40" i="8"/>
  <c r="AE39" i="8"/>
  <c r="AE38" i="8"/>
  <c r="AE37" i="8"/>
  <c r="AE36" i="8"/>
  <c r="AE35" i="8"/>
  <c r="AE34" i="8"/>
  <c r="AE33" i="8"/>
  <c r="AE32" i="8"/>
  <c r="AE31" i="8"/>
  <c r="AE30" i="8"/>
  <c r="AE29" i="8"/>
  <c r="AE28" i="8"/>
  <c r="AE27" i="8"/>
  <c r="AE26" i="8"/>
  <c r="AE25" i="8"/>
  <c r="AE24" i="8"/>
  <c r="AE23" i="8"/>
  <c r="AE22" i="8"/>
  <c r="AE21" i="8"/>
  <c r="Y535" i="8"/>
  <c r="Z535" i="8" s="1"/>
  <c r="V535" i="8"/>
  <c r="N837" i="8"/>
  <c r="N836" i="8"/>
  <c r="F9" i="5" l="1"/>
  <c r="V12" i="3"/>
  <c r="AA11" i="3"/>
  <c r="N1657" i="8" l="1"/>
  <c r="L1675" i="8"/>
  <c r="O1657" i="8"/>
  <c r="O1675" i="8" s="1"/>
  <c r="I24" i="21"/>
  <c r="I23" i="21"/>
  <c r="H25" i="21"/>
  <c r="I25" i="21" s="1"/>
  <c r="D24" i="21"/>
  <c r="C24" i="21"/>
  <c r="D23" i="21"/>
  <c r="D25" i="21" s="1"/>
  <c r="C23" i="21"/>
  <c r="G11" i="21"/>
  <c r="H8" i="21" s="1"/>
  <c r="I8" i="21" s="1"/>
  <c r="J4" i="21"/>
  <c r="J3" i="21"/>
  <c r="D5" i="21"/>
  <c r="C5" i="21"/>
  <c r="H5" i="21"/>
  <c r="F4" i="21"/>
  <c r="I4" i="21" s="1"/>
  <c r="F3" i="21"/>
  <c r="I3" i="21" s="1"/>
  <c r="K3" i="21" s="1"/>
  <c r="G5" i="21"/>
  <c r="D18" i="21"/>
  <c r="C18" i="21"/>
  <c r="E17" i="21"/>
  <c r="E16" i="21"/>
  <c r="E15" i="21"/>
  <c r="E12" i="21"/>
  <c r="E24" i="21" s="1"/>
  <c r="E11" i="21"/>
  <c r="E10" i="21"/>
  <c r="E9" i="21"/>
  <c r="D8" i="21"/>
  <c r="D13" i="21" s="1"/>
  <c r="C8" i="21"/>
  <c r="C13" i="21" s="1"/>
  <c r="C20" i="21" s="1"/>
  <c r="E4" i="21"/>
  <c r="E3" i="21"/>
  <c r="E5" i="21" s="1"/>
  <c r="D20" i="21" l="1"/>
  <c r="J5" i="21"/>
  <c r="K4" i="21"/>
  <c r="H9" i="21"/>
  <c r="I9" i="21" s="1"/>
  <c r="I11" i="21" s="1"/>
  <c r="E18" i="21"/>
  <c r="F5" i="21"/>
  <c r="I5" i="21" s="1"/>
  <c r="C25" i="21"/>
  <c r="E8" i="21"/>
  <c r="E13" i="21" s="1"/>
  <c r="E23" i="21"/>
  <c r="E25" i="21" s="1"/>
  <c r="V835" i="8"/>
  <c r="V1728" i="8"/>
  <c r="V1053" i="8"/>
  <c r="V1290" i="8"/>
  <c r="W1290" i="8" s="1"/>
  <c r="W569" i="8"/>
  <c r="V568" i="8"/>
  <c r="W577" i="8"/>
  <c r="V528" i="8"/>
  <c r="W528" i="8" s="1"/>
  <c r="V556" i="8"/>
  <c r="E20" i="21" l="1"/>
  <c r="K5" i="21"/>
  <c r="I354" i="8"/>
  <c r="I535" i="8"/>
  <c r="I835" i="8"/>
  <c r="V641" i="8"/>
  <c r="W641" i="8" s="1"/>
  <c r="V680" i="8"/>
  <c r="W680" i="8" s="1"/>
  <c r="W556" i="8"/>
  <c r="I556" i="8"/>
  <c r="V527" i="8"/>
  <c r="W527" i="8" s="1"/>
  <c r="V525" i="8"/>
  <c r="W525" i="8" s="1"/>
  <c r="V416" i="8"/>
  <c r="V438" i="8"/>
  <c r="AB25" i="8"/>
  <c r="M1651" i="8"/>
  <c r="M1669" i="8" s="1"/>
  <c r="M1689" i="8" s="1"/>
  <c r="M1586" i="8"/>
  <c r="M1585" i="8"/>
  <c r="M1144" i="8"/>
  <c r="M1142" i="8"/>
  <c r="M1188" i="8"/>
  <c r="I1728" i="8"/>
  <c r="I1760" i="8"/>
  <c r="Q1727" i="8"/>
  <c r="I1726" i="8"/>
  <c r="I1725" i="8"/>
  <c r="I1598" i="8"/>
  <c r="I1596" i="8"/>
  <c r="I1593" i="8"/>
  <c r="I1589" i="8"/>
  <c r="I1586" i="8"/>
  <c r="I1585" i="8"/>
  <c r="I1449" i="8"/>
  <c r="I1447" i="8"/>
  <c r="I1386" i="8"/>
  <c r="I1370" i="8"/>
  <c r="I1350" i="8"/>
  <c r="I1348" i="8"/>
  <c r="I1347" i="8"/>
  <c r="I1345" i="8"/>
  <c r="I1341" i="8"/>
  <c r="I1338" i="8"/>
  <c r="I1337" i="8"/>
  <c r="I1095" i="8"/>
  <c r="I1070" i="8"/>
  <c r="I1120" i="8"/>
  <c r="I1255" i="8"/>
  <c r="I1290" i="8"/>
  <c r="I1280" i="8"/>
  <c r="I1220" i="8"/>
  <c r="I1230" i="8"/>
  <c r="I417" i="8"/>
  <c r="V417" i="8" s="1"/>
  <c r="W417" i="8" s="1"/>
  <c r="I355" i="8"/>
  <c r="I353" i="8"/>
  <c r="I438" i="8"/>
  <c r="I1014" i="8"/>
  <c r="I1016" i="8" s="1"/>
  <c r="J1016" i="8" s="1"/>
  <c r="I480" i="8"/>
  <c r="I479" i="8"/>
  <c r="I641" i="8"/>
  <c r="I569" i="8"/>
  <c r="I558" i="8"/>
  <c r="I555" i="8"/>
  <c r="I544" i="8"/>
  <c r="I536" i="8"/>
  <c r="I534" i="8"/>
  <c r="V534" i="8" s="1"/>
  <c r="I533" i="8"/>
  <c r="I532" i="8"/>
  <c r="I531" i="8"/>
  <c r="I528" i="8"/>
  <c r="I527" i="8"/>
  <c r="I526" i="8"/>
  <c r="I524" i="8"/>
  <c r="I523" i="8"/>
  <c r="I1154" i="8"/>
  <c r="I1176" i="8"/>
  <c r="I1164" i="8"/>
  <c r="I234" i="8"/>
  <c r="I211" i="8"/>
  <c r="I205" i="8"/>
  <c r="I202" i="8"/>
  <c r="I201" i="8"/>
  <c r="J29" i="8"/>
  <c r="J28" i="8"/>
  <c r="J27" i="8"/>
  <c r="J26" i="8"/>
  <c r="I32" i="8"/>
  <c r="I30" i="8"/>
  <c r="I25" i="8"/>
  <c r="I21" i="8"/>
  <c r="I20" i="8"/>
  <c r="AB108" i="3"/>
  <c r="AB111" i="3"/>
  <c r="AB110" i="3"/>
  <c r="AB109" i="3"/>
  <c r="AB60" i="3"/>
  <c r="AB129" i="3"/>
  <c r="AB122" i="3"/>
  <c r="AB117" i="3"/>
  <c r="AB114" i="3"/>
  <c r="AB105" i="3"/>
  <c r="AB104" i="3"/>
  <c r="AB103" i="3"/>
  <c r="AB102" i="3"/>
  <c r="AB101" i="3"/>
  <c r="AB100" i="3"/>
  <c r="AB99" i="3"/>
  <c r="AB97" i="3"/>
  <c r="AB96" i="3"/>
  <c r="AB95" i="3"/>
  <c r="AB94" i="3"/>
  <c r="AB93" i="3"/>
  <c r="AB92" i="3"/>
  <c r="AB91" i="3"/>
  <c r="AB90" i="3"/>
  <c r="AB89" i="3"/>
  <c r="AB88" i="3"/>
  <c r="AB87" i="3"/>
  <c r="AB82" i="3"/>
  <c r="AB81" i="3"/>
  <c r="AB80" i="3"/>
  <c r="AB79" i="3"/>
  <c r="AB78" i="3"/>
  <c r="AB77" i="3"/>
  <c r="AB76" i="3"/>
  <c r="AB75" i="3"/>
  <c r="AB74" i="3"/>
  <c r="AB73" i="3"/>
  <c r="AB67" i="3"/>
  <c r="AB66" i="3"/>
  <c r="AB65" i="3"/>
  <c r="AB57" i="3"/>
  <c r="AB56" i="3"/>
  <c r="AB53" i="3"/>
  <c r="AB52" i="3"/>
  <c r="AB51" i="3"/>
  <c r="AB50" i="3"/>
  <c r="AB49" i="3"/>
  <c r="AB48" i="3"/>
  <c r="AB47" i="3"/>
  <c r="AB46" i="3"/>
  <c r="AB43" i="3"/>
  <c r="AB42" i="3"/>
  <c r="AB41" i="3"/>
  <c r="AB40" i="3"/>
  <c r="AB39" i="3"/>
  <c r="AB38" i="3"/>
  <c r="AB37" i="3"/>
  <c r="AB36" i="3"/>
  <c r="AB35" i="3"/>
  <c r="AB33" i="3"/>
  <c r="AB31" i="3"/>
  <c r="AB30" i="3"/>
  <c r="AB29" i="3"/>
  <c r="AB28" i="3"/>
  <c r="AB27" i="3"/>
  <c r="AB26" i="3"/>
  <c r="AB25" i="3"/>
  <c r="AB24" i="3"/>
  <c r="AB23" i="3"/>
  <c r="AB22" i="3"/>
  <c r="AB21" i="3"/>
  <c r="AB20" i="3"/>
  <c r="AB19" i="3"/>
  <c r="AB18" i="3"/>
  <c r="AB17" i="3"/>
  <c r="AB12" i="3"/>
  <c r="U13" i="3"/>
  <c r="U134" i="3" s="1"/>
  <c r="H113" i="3"/>
  <c r="H112" i="3" s="1"/>
  <c r="E121" i="3"/>
  <c r="E120" i="3" s="1"/>
  <c r="E119" i="3" s="1"/>
  <c r="E118" i="3" s="1"/>
  <c r="E64" i="3"/>
  <c r="AB64" i="3" s="1"/>
  <c r="I568" i="8"/>
  <c r="H82" i="5"/>
  <c r="M1350" i="8"/>
  <c r="M1347" i="8"/>
  <c r="M1345" i="8"/>
  <c r="P1697" i="8"/>
  <c r="P1696" i="8"/>
  <c r="P1694" i="8"/>
  <c r="P1693" i="8"/>
  <c r="P1692" i="8"/>
  <c r="P1691" i="8"/>
  <c r="P1690" i="8"/>
  <c r="P1688" i="8"/>
  <c r="P1687" i="8"/>
  <c r="P1686" i="8"/>
  <c r="Q1660" i="8"/>
  <c r="Q1659" i="8"/>
  <c r="Q1658" i="8"/>
  <c r="Q1657" i="8"/>
  <c r="Q1656" i="8"/>
  <c r="Q1655" i="8"/>
  <c r="Q1654" i="8"/>
  <c r="Q1653" i="8"/>
  <c r="Q1652" i="8"/>
  <c r="Q1650" i="8"/>
  <c r="Q1649" i="8"/>
  <c r="Q1648" i="8"/>
  <c r="S1648" i="8" s="1"/>
  <c r="O1648" i="8"/>
  <c r="M1678" i="8"/>
  <c r="M1698" i="8" s="1"/>
  <c r="M1675" i="8"/>
  <c r="M1666" i="8"/>
  <c r="M1686" i="8" s="1"/>
  <c r="M1661" i="8"/>
  <c r="I1595" i="8"/>
  <c r="I1594" i="8"/>
  <c r="I1731" i="8" l="1"/>
  <c r="Q1731" i="8" s="1"/>
  <c r="AC12" i="3"/>
  <c r="Q1651" i="8"/>
  <c r="AB16" i="3"/>
  <c r="AB98" i="3"/>
  <c r="K1727" i="8"/>
  <c r="AE1727" i="8"/>
  <c r="P1727" i="8"/>
  <c r="S1727" i="8" s="1"/>
  <c r="M1695" i="8"/>
  <c r="N1675" i="8"/>
  <c r="Q1686" i="8"/>
  <c r="S1686" i="8" s="1"/>
  <c r="M1705" i="8"/>
  <c r="AB13" i="3"/>
  <c r="AC13" i="3" s="1"/>
  <c r="AB120" i="3"/>
  <c r="AB119" i="3" s="1"/>
  <c r="AB118" i="3" s="1"/>
  <c r="AB121" i="3"/>
  <c r="J1727" i="8"/>
  <c r="I1497" i="8"/>
  <c r="N1188" i="8"/>
  <c r="O1145" i="8"/>
  <c r="N1142" i="8"/>
  <c r="Q826" i="8"/>
  <c r="N811" i="8"/>
  <c r="N758" i="8"/>
  <c r="J479" i="8"/>
  <c r="G34" i="5"/>
  <c r="M467" i="8"/>
  <c r="M450" i="8"/>
  <c r="R1727" i="8" l="1"/>
  <c r="AB11" i="3"/>
  <c r="AB1727" i="8"/>
  <c r="AB766" i="8"/>
  <c r="AB765" i="8"/>
  <c r="S765" i="8"/>
  <c r="S766" i="8" s="1"/>
  <c r="R765" i="8"/>
  <c r="Q765" i="8"/>
  <c r="Q766" i="8" s="1"/>
  <c r="O766" i="8"/>
  <c r="O774" i="8" s="1"/>
  <c r="K765" i="8"/>
  <c r="K766" i="8" s="1"/>
  <c r="K774" i="8" s="1"/>
  <c r="I765" i="8"/>
  <c r="I766" i="8" s="1"/>
  <c r="I774" i="8" s="1"/>
  <c r="H766" i="8"/>
  <c r="AB763" i="8"/>
  <c r="AB762" i="8"/>
  <c r="S762" i="8"/>
  <c r="O762" i="8"/>
  <c r="L766" i="8"/>
  <c r="AB761" i="8"/>
  <c r="R761" i="8"/>
  <c r="M761" i="8"/>
  <c r="M765" i="8" s="1"/>
  <c r="M766" i="8" s="1"/>
  <c r="M774" i="8" s="1"/>
  <c r="K761" i="8"/>
  <c r="K762" i="8" s="1"/>
  <c r="I761" i="8"/>
  <c r="AB759" i="8"/>
  <c r="AB758" i="8"/>
  <c r="Q758" i="8"/>
  <c r="P758" i="8"/>
  <c r="O758" i="8"/>
  <c r="K758" i="8"/>
  <c r="AB756" i="8"/>
  <c r="AB755" i="8"/>
  <c r="I762" i="8" l="1"/>
  <c r="P761" i="8"/>
  <c r="N761" i="8"/>
  <c r="N765" i="8" s="1"/>
  <c r="N766" i="8"/>
  <c r="N774" i="8" s="1"/>
  <c r="R758" i="8"/>
  <c r="Q761" i="8"/>
  <c r="Q762" i="8" s="1"/>
  <c r="M762" i="8"/>
  <c r="S758" i="8"/>
  <c r="W535" i="8"/>
  <c r="AE1728" i="8"/>
  <c r="AA1823" i="8"/>
  <c r="W568" i="8"/>
  <c r="W534" i="8"/>
  <c r="P765" i="8" l="1"/>
  <c r="P766" i="8" s="1"/>
  <c r="R766" i="8" s="1"/>
  <c r="P762" i="8"/>
  <c r="N762" i="8"/>
  <c r="AE1726" i="8"/>
  <c r="R762" i="8"/>
  <c r="H1731" i="8"/>
  <c r="J709" i="7" l="1"/>
  <c r="J715" i="7" s="1"/>
  <c r="J698" i="7"/>
  <c r="J680" i="7"/>
  <c r="J656" i="7"/>
  <c r="J654" i="7"/>
  <c r="J652" i="7"/>
  <c r="J664" i="7" l="1"/>
  <c r="J637" i="7"/>
  <c r="J638" i="7"/>
  <c r="J636" i="7"/>
  <c r="J644" i="7" l="1"/>
  <c r="N1535" i="8" l="1"/>
  <c r="M1537" i="8"/>
  <c r="M1538" i="8" s="1"/>
  <c r="L1537" i="8"/>
  <c r="L1540" i="8" s="1"/>
  <c r="L1541" i="8" s="1"/>
  <c r="J1537" i="8"/>
  <c r="J1538" i="8" s="1"/>
  <c r="I1537" i="8"/>
  <c r="I1540" i="8" s="1"/>
  <c r="I1541" i="8" s="1"/>
  <c r="H1537" i="8"/>
  <c r="H1538" i="8" s="1"/>
  <c r="AB1541" i="8"/>
  <c r="AB1540" i="8"/>
  <c r="AB1539" i="8"/>
  <c r="AB1538" i="8"/>
  <c r="AB1537" i="8"/>
  <c r="AB1536" i="8"/>
  <c r="AB1535" i="8"/>
  <c r="Q1535" i="8"/>
  <c r="Q1537" i="8" s="1"/>
  <c r="P1535" i="8"/>
  <c r="S1535" i="8" s="1"/>
  <c r="S1537" i="8" s="1"/>
  <c r="S1540" i="8" s="1"/>
  <c r="S1541" i="8" s="1"/>
  <c r="O1535" i="8"/>
  <c r="N1537" i="8"/>
  <c r="N1540" i="8" s="1"/>
  <c r="N1541" i="8" s="1"/>
  <c r="K1535" i="8"/>
  <c r="K1537" i="8" s="1"/>
  <c r="K1540" i="8" s="1"/>
  <c r="K1541" i="8" s="1"/>
  <c r="AB1534" i="8"/>
  <c r="AB1533" i="8"/>
  <c r="AB1782" i="8"/>
  <c r="AB1781" i="8"/>
  <c r="AB1780" i="8"/>
  <c r="I1770" i="8"/>
  <c r="I1771" i="8" s="1"/>
  <c r="N1774" i="8"/>
  <c r="N1778" i="8" s="1"/>
  <c r="N1782" i="8" s="1"/>
  <c r="N1773" i="8"/>
  <c r="N1777" i="8" s="1"/>
  <c r="N1781" i="8" s="1"/>
  <c r="M1770" i="8"/>
  <c r="M1773" i="8" s="1"/>
  <c r="M1777" i="8" s="1"/>
  <c r="M1781" i="8" s="1"/>
  <c r="L1770" i="8"/>
  <c r="L1773" i="8" s="1"/>
  <c r="L1777" i="8" s="1"/>
  <c r="L1781" i="8" s="1"/>
  <c r="H1770" i="8"/>
  <c r="Q1768" i="8"/>
  <c r="P1768" i="8"/>
  <c r="O1768" i="8"/>
  <c r="K1768" i="8"/>
  <c r="J1768" i="8"/>
  <c r="Q1767" i="8"/>
  <c r="P1767" i="8"/>
  <c r="O1767" i="8"/>
  <c r="K1767" i="8"/>
  <c r="J1767" i="8"/>
  <c r="Q1766" i="8"/>
  <c r="P1766" i="8"/>
  <c r="O1766" i="8"/>
  <c r="K1766" i="8"/>
  <c r="Q1765" i="8"/>
  <c r="P1765" i="8"/>
  <c r="O1765" i="8"/>
  <c r="K1765" i="8"/>
  <c r="Q1764" i="8"/>
  <c r="P1764" i="8"/>
  <c r="O1764" i="8"/>
  <c r="K1764" i="8"/>
  <c r="Q1763" i="8"/>
  <c r="P1763" i="8"/>
  <c r="O1763" i="8"/>
  <c r="K1763" i="8"/>
  <c r="J1763" i="8"/>
  <c r="Q1762" i="8"/>
  <c r="P1762" i="8"/>
  <c r="O1762" i="8"/>
  <c r="K1762" i="8"/>
  <c r="J1762" i="8"/>
  <c r="Q1761" i="8"/>
  <c r="P1761" i="8"/>
  <c r="O1761" i="8"/>
  <c r="K1761" i="8"/>
  <c r="Q1760" i="8"/>
  <c r="P1760" i="8"/>
  <c r="O1760" i="8"/>
  <c r="K1760" i="8"/>
  <c r="J1760" i="8"/>
  <c r="Q1759" i="8"/>
  <c r="P1759" i="8"/>
  <c r="O1759" i="8"/>
  <c r="K1759" i="8"/>
  <c r="Q1758" i="8"/>
  <c r="P1758" i="8"/>
  <c r="O1758" i="8"/>
  <c r="K1758" i="8"/>
  <c r="J1758" i="8"/>
  <c r="Q1757" i="8"/>
  <c r="P1757" i="8"/>
  <c r="O1757" i="8"/>
  <c r="K1757" i="8"/>
  <c r="Q1756" i="8"/>
  <c r="P1756" i="8"/>
  <c r="O1756" i="8"/>
  <c r="K1756" i="8"/>
  <c r="J1756" i="8"/>
  <c r="AB1778" i="8"/>
  <c r="AB1777" i="8"/>
  <c r="AB1776" i="8"/>
  <c r="AB1775" i="8"/>
  <c r="AB1774" i="8"/>
  <c r="AB1773" i="8"/>
  <c r="AB1772" i="8"/>
  <c r="AB1771" i="8"/>
  <c r="AB1770" i="8"/>
  <c r="AB1769" i="8"/>
  <c r="AB1758" i="8"/>
  <c r="AB1757" i="8"/>
  <c r="AB1756" i="8"/>
  <c r="AB1755" i="8"/>
  <c r="Q1755" i="8"/>
  <c r="P1755" i="8"/>
  <c r="O1755" i="8"/>
  <c r="K1755" i="8"/>
  <c r="J1755" i="8"/>
  <c r="AB1754" i="8"/>
  <c r="AB1753" i="8"/>
  <c r="AB1752" i="8"/>
  <c r="AB1751" i="8"/>
  <c r="S1755" i="8" l="1"/>
  <c r="H1540" i="8"/>
  <c r="H1541" i="8" s="1"/>
  <c r="J1540" i="8"/>
  <c r="J1541" i="8" s="1"/>
  <c r="I1774" i="8"/>
  <c r="D74" i="6"/>
  <c r="Q1540" i="8"/>
  <c r="Q1541" i="8" s="1"/>
  <c r="Q1538" i="8"/>
  <c r="K1538" i="8"/>
  <c r="M1540" i="8"/>
  <c r="M1541" i="8" s="1"/>
  <c r="K1770" i="8"/>
  <c r="K1773" i="8" s="1"/>
  <c r="K1777" i="8" s="1"/>
  <c r="K1781" i="8" s="1"/>
  <c r="I1538" i="8"/>
  <c r="N1538" i="8"/>
  <c r="S1538" i="8"/>
  <c r="L1538" i="8"/>
  <c r="O1537" i="8"/>
  <c r="P1537" i="8"/>
  <c r="R1537" i="8"/>
  <c r="I1773" i="8"/>
  <c r="I1777" i="8" s="1"/>
  <c r="I1781" i="8" s="1"/>
  <c r="Q1770" i="8"/>
  <c r="Q1773" i="8" s="1"/>
  <c r="Q1777" i="8" s="1"/>
  <c r="Q1781" i="8" s="1"/>
  <c r="P1770" i="8"/>
  <c r="P1773" i="8" s="1"/>
  <c r="P1777" i="8" s="1"/>
  <c r="P1781" i="8" s="1"/>
  <c r="O1770" i="8"/>
  <c r="O1773" i="8" s="1"/>
  <c r="O1777" i="8" s="1"/>
  <c r="O1781" i="8" s="1"/>
  <c r="H1773" i="8"/>
  <c r="H1777" i="8" s="1"/>
  <c r="H1781" i="8" s="1"/>
  <c r="H1771" i="8"/>
  <c r="H1774" i="8" s="1"/>
  <c r="H1778" i="8" s="1"/>
  <c r="H1782" i="8" s="1"/>
  <c r="R1764" i="8"/>
  <c r="S1768" i="8"/>
  <c r="R1767" i="8"/>
  <c r="R1766" i="8"/>
  <c r="R1765" i="8"/>
  <c r="R1763" i="8"/>
  <c r="R1762" i="8"/>
  <c r="R1761" i="8"/>
  <c r="R1760" i="8"/>
  <c r="R1759" i="8"/>
  <c r="R1758" i="8"/>
  <c r="R1757" i="8"/>
  <c r="R1756" i="8"/>
  <c r="R1768" i="8"/>
  <c r="S1756" i="8"/>
  <c r="S1757" i="8"/>
  <c r="S1758" i="8"/>
  <c r="S1759" i="8"/>
  <c r="S1760" i="8"/>
  <c r="S1761" i="8"/>
  <c r="S1762" i="8"/>
  <c r="S1763" i="8"/>
  <c r="S1764" i="8"/>
  <c r="S1765" i="8"/>
  <c r="S1766" i="8"/>
  <c r="S1767" i="8"/>
  <c r="R1755" i="8"/>
  <c r="L1771" i="8"/>
  <c r="J1770" i="8"/>
  <c r="M1771" i="8"/>
  <c r="M1774" i="8" s="1"/>
  <c r="M1778" i="8" s="1"/>
  <c r="M1782" i="8" s="1"/>
  <c r="I1778" i="8" l="1"/>
  <c r="I1782" i="8" s="1"/>
  <c r="E130" i="7"/>
  <c r="R1538" i="8"/>
  <c r="R1540" i="8"/>
  <c r="R1541" i="8" s="1"/>
  <c r="O1540" i="8"/>
  <c r="O1541" i="8" s="1"/>
  <c r="O1538" i="8"/>
  <c r="P1540" i="8"/>
  <c r="P1541" i="8" s="1"/>
  <c r="P1538" i="8"/>
  <c r="L1774" i="8"/>
  <c r="L1778" i="8" s="1"/>
  <c r="L1782" i="8" s="1"/>
  <c r="P1771" i="8"/>
  <c r="P1774" i="8" s="1"/>
  <c r="P1778" i="8" s="1"/>
  <c r="P1782" i="8" s="1"/>
  <c r="J1773" i="8"/>
  <c r="J1777" i="8" s="1"/>
  <c r="J1781" i="8" s="1"/>
  <c r="S1770" i="8"/>
  <c r="C74" i="6"/>
  <c r="Q1771" i="8"/>
  <c r="Q1774" i="8" s="1"/>
  <c r="Q1778" i="8" s="1"/>
  <c r="Q1782" i="8" s="1"/>
  <c r="R1770" i="8"/>
  <c r="O1771" i="8"/>
  <c r="K1771" i="8"/>
  <c r="J1771" i="8"/>
  <c r="E129" i="7" l="1"/>
  <c r="K130" i="7"/>
  <c r="O1774" i="8"/>
  <c r="O1778" i="8" s="1"/>
  <c r="O1782" i="8" s="1"/>
  <c r="R1773" i="8"/>
  <c r="R1777" i="8" s="1"/>
  <c r="R1781" i="8" s="1"/>
  <c r="S1773" i="8"/>
  <c r="S1777" i="8" s="1"/>
  <c r="S1781" i="8" s="1"/>
  <c r="K1774" i="8"/>
  <c r="K1778" i="8" s="1"/>
  <c r="K1782" i="8" s="1"/>
  <c r="J1774" i="8"/>
  <c r="J1778" i="8" s="1"/>
  <c r="J1782" i="8" s="1"/>
  <c r="S1771" i="8"/>
  <c r="R1771" i="8"/>
  <c r="O1137" i="8"/>
  <c r="M1137" i="8"/>
  <c r="H1137" i="8"/>
  <c r="L1136" i="8"/>
  <c r="L1133" i="8"/>
  <c r="L1134" i="8" s="1"/>
  <c r="O809" i="8"/>
  <c r="N809" i="8"/>
  <c r="M809" i="8"/>
  <c r="M826" i="8" s="1"/>
  <c r="H809" i="8"/>
  <c r="H826" i="8" s="1"/>
  <c r="P804" i="8"/>
  <c r="AD1811" i="8"/>
  <c r="AB583" i="8"/>
  <c r="AB1821" i="8"/>
  <c r="AB1820" i="8"/>
  <c r="AB1819" i="8"/>
  <c r="AB1818" i="8"/>
  <c r="AB1817" i="8"/>
  <c r="AB1816" i="8"/>
  <c r="AB1815" i="8"/>
  <c r="AB1814" i="8"/>
  <c r="AB1813" i="8"/>
  <c r="AB1812" i="8"/>
  <c r="AB1811" i="8"/>
  <c r="AB1810" i="8"/>
  <c r="AB1809" i="8"/>
  <c r="AB1808" i="8"/>
  <c r="AB1807" i="8"/>
  <c r="AB1806" i="8"/>
  <c r="AB1805" i="8"/>
  <c r="AB1804" i="8"/>
  <c r="AB1803" i="8"/>
  <c r="AB1802" i="8"/>
  <c r="AB1800" i="8"/>
  <c r="AB1799" i="8"/>
  <c r="AB1798" i="8"/>
  <c r="AB1797" i="8"/>
  <c r="AB1796" i="8"/>
  <c r="AB1795" i="8"/>
  <c r="AB1794" i="8"/>
  <c r="AB1793" i="8"/>
  <c r="AB1792" i="8"/>
  <c r="AB1791" i="8"/>
  <c r="AB1790" i="8"/>
  <c r="AB1789" i="8"/>
  <c r="AB1788" i="8"/>
  <c r="AB1787" i="8"/>
  <c r="AB1786" i="8"/>
  <c r="AB1785" i="8"/>
  <c r="AB1784" i="8"/>
  <c r="AB1779" i="8"/>
  <c r="AB1747" i="8"/>
  <c r="AB1746" i="8"/>
  <c r="AB1745" i="8"/>
  <c r="AB1744" i="8"/>
  <c r="AB1743" i="8"/>
  <c r="AB1742" i="8"/>
  <c r="AB1741" i="8"/>
  <c r="AB1740" i="8"/>
  <c r="AB1739" i="8"/>
  <c r="AB1738" i="8"/>
  <c r="AB1737" i="8"/>
  <c r="AB1736" i="8"/>
  <c r="AB1735" i="8"/>
  <c r="AB1734" i="8"/>
  <c r="AB1733" i="8"/>
  <c r="AB1732" i="8"/>
  <c r="AB1731" i="8"/>
  <c r="AB1730" i="8"/>
  <c r="AB1724" i="8"/>
  <c r="AB1723" i="8"/>
  <c r="AB1722" i="8"/>
  <c r="AB1721" i="8"/>
  <c r="AB1720" i="8"/>
  <c r="AB1719" i="8"/>
  <c r="AB1718" i="8"/>
  <c r="AB1717" i="8"/>
  <c r="AB1716" i="8"/>
  <c r="AB1715" i="8"/>
  <c r="AB1714" i="8"/>
  <c r="AB1713" i="8"/>
  <c r="AB1712" i="8"/>
  <c r="AB1711" i="8"/>
  <c r="AB1710" i="8"/>
  <c r="AB1709" i="8"/>
  <c r="AB1708" i="8"/>
  <c r="AB1707" i="8"/>
  <c r="AB1706" i="8"/>
  <c r="AB1705" i="8"/>
  <c r="AB1704" i="8"/>
  <c r="AB1703" i="8"/>
  <c r="AB1702" i="8"/>
  <c r="AB1701" i="8"/>
  <c r="AB1700" i="8"/>
  <c r="AB1699" i="8"/>
  <c r="AB1698" i="8"/>
  <c r="AB1697" i="8"/>
  <c r="AB1696" i="8"/>
  <c r="AB1695" i="8"/>
  <c r="AB1694" i="8"/>
  <c r="AB1693" i="8"/>
  <c r="AB1692" i="8"/>
  <c r="AB1691" i="8"/>
  <c r="AB1690" i="8"/>
  <c r="AB1689" i="8"/>
  <c r="AB1688" i="8"/>
  <c r="AB1687" i="8"/>
  <c r="AB1686" i="8"/>
  <c r="AB1685" i="8"/>
  <c r="AB1684" i="8"/>
  <c r="AB1683" i="8"/>
  <c r="AB1682" i="8"/>
  <c r="AB1681" i="8"/>
  <c r="AB1680" i="8"/>
  <c r="AB1679" i="8"/>
  <c r="AB1678" i="8"/>
  <c r="AB1677" i="8"/>
  <c r="AB1676" i="8"/>
  <c r="AB1675" i="8"/>
  <c r="AB1674" i="8"/>
  <c r="AB1673" i="8"/>
  <c r="AB1672" i="8"/>
  <c r="AB1671" i="8"/>
  <c r="AB1670" i="8"/>
  <c r="AB1669" i="8"/>
  <c r="AB1668" i="8"/>
  <c r="AB1667" i="8"/>
  <c r="AB1666" i="8"/>
  <c r="AB1665" i="8"/>
  <c r="AB1664" i="8"/>
  <c r="AB1663" i="8"/>
  <c r="AB1662" i="8"/>
  <c r="AB1661" i="8"/>
  <c r="AB1660" i="8"/>
  <c r="AB1659" i="8"/>
  <c r="AB1658" i="8"/>
  <c r="AB1657" i="8"/>
  <c r="AB1656" i="8"/>
  <c r="AB1655" i="8"/>
  <c r="AB1654" i="8"/>
  <c r="AB1653" i="8"/>
  <c r="AB1652" i="8"/>
  <c r="AB1651" i="8"/>
  <c r="AB1650" i="8"/>
  <c r="AB1649" i="8"/>
  <c r="AB1648" i="8"/>
  <c r="AB1647" i="8"/>
  <c r="AB1646" i="8"/>
  <c r="AB1645" i="8"/>
  <c r="AB1644" i="8"/>
  <c r="AB1643" i="8"/>
  <c r="AB1642" i="8"/>
  <c r="AB1641" i="8"/>
  <c r="AB1640" i="8"/>
  <c r="AB1639" i="8"/>
  <c r="AB1638" i="8"/>
  <c r="AB1637" i="8"/>
  <c r="AB1636" i="8"/>
  <c r="AB1635" i="8"/>
  <c r="AB1634" i="8"/>
  <c r="AB1633" i="8"/>
  <c r="AB1632" i="8"/>
  <c r="AB1629" i="8"/>
  <c r="AB1628" i="8"/>
  <c r="AB1627" i="8"/>
  <c r="AB1626" i="8"/>
  <c r="AB1625" i="8"/>
  <c r="AB1624" i="8"/>
  <c r="AB1623" i="8"/>
  <c r="AB1622" i="8"/>
  <c r="AB1584" i="8"/>
  <c r="AB1583" i="8"/>
  <c r="AB1582" i="8"/>
  <c r="AB1581" i="8"/>
  <c r="AB1580" i="8"/>
  <c r="AB1579" i="8"/>
  <c r="AB1578" i="8"/>
  <c r="AB1577" i="8"/>
  <c r="AB1576" i="8"/>
  <c r="AB1575" i="8"/>
  <c r="AB1574" i="8"/>
  <c r="AB1573" i="8"/>
  <c r="AB1572" i="8"/>
  <c r="AB1571" i="8"/>
  <c r="AB1570" i="8"/>
  <c r="AB1569" i="8"/>
  <c r="AB1568" i="8"/>
  <c r="AB1567" i="8"/>
  <c r="AB1566" i="8"/>
  <c r="AB1565" i="8"/>
  <c r="AB1564" i="8"/>
  <c r="AB1563" i="8"/>
  <c r="AB1562" i="8"/>
  <c r="AB1561" i="8"/>
  <c r="AB1560" i="8"/>
  <c r="AB1559" i="8"/>
  <c r="AB1558" i="8"/>
  <c r="AB1557" i="8"/>
  <c r="AB1556" i="8"/>
  <c r="AB1555" i="8"/>
  <c r="AB1554" i="8"/>
  <c r="AB1553" i="8"/>
  <c r="AB1552" i="8"/>
  <c r="AB1551" i="8"/>
  <c r="AB1550" i="8"/>
  <c r="AB1549" i="8"/>
  <c r="AB1548" i="8"/>
  <c r="AB1547" i="8"/>
  <c r="AB1546" i="8"/>
  <c r="AB1545" i="8"/>
  <c r="AB1544" i="8"/>
  <c r="AB1543" i="8"/>
  <c r="AB1532" i="8"/>
  <c r="AB1531" i="8"/>
  <c r="AB1530" i="8"/>
  <c r="AB1529" i="8"/>
  <c r="AB1528" i="8"/>
  <c r="AB1527" i="8"/>
  <c r="AB1526" i="8"/>
  <c r="AB1525" i="8"/>
  <c r="AB1524" i="8"/>
  <c r="AB1523" i="8"/>
  <c r="AB1522" i="8"/>
  <c r="AB1521" i="8"/>
  <c r="AB1520" i="8"/>
  <c r="AB1519" i="8"/>
  <c r="AB1518" i="8"/>
  <c r="AB1517" i="8"/>
  <c r="AB1516" i="8"/>
  <c r="AB1515" i="8"/>
  <c r="AB1514" i="8"/>
  <c r="AB1513" i="8"/>
  <c r="AB1512" i="8"/>
  <c r="AB1511" i="8"/>
  <c r="AB1510" i="8"/>
  <c r="AB1509" i="8"/>
  <c r="AB1508" i="8"/>
  <c r="AB1507" i="8"/>
  <c r="AB1506" i="8"/>
  <c r="AB1505" i="8"/>
  <c r="AB1504" i="8"/>
  <c r="AB1503" i="8"/>
  <c r="AB1502" i="8"/>
  <c r="AB1501" i="8"/>
  <c r="AB1500" i="8"/>
  <c r="AB1499" i="8"/>
  <c r="AB1498" i="8"/>
  <c r="AB1497" i="8"/>
  <c r="AB1496" i="8"/>
  <c r="AB1495" i="8"/>
  <c r="AB1494" i="8"/>
  <c r="AB1493" i="8"/>
  <c r="AB1492" i="8"/>
  <c r="AB1491" i="8"/>
  <c r="AB1490" i="8"/>
  <c r="AB1489" i="8"/>
  <c r="AB1488" i="8"/>
  <c r="AB1487" i="8"/>
  <c r="AB1486" i="8"/>
  <c r="AB1485" i="8"/>
  <c r="AB1484" i="8"/>
  <c r="AB1483" i="8"/>
  <c r="AB1481" i="8"/>
  <c r="AB1480" i="8"/>
  <c r="AB1479" i="8"/>
  <c r="AB1478" i="8"/>
  <c r="AB1477" i="8"/>
  <c r="AB1476" i="8"/>
  <c r="AB1475" i="8"/>
  <c r="AB1474" i="8"/>
  <c r="AB1473" i="8"/>
  <c r="AB1472" i="8"/>
  <c r="AB1471" i="8"/>
  <c r="AB1470" i="8"/>
  <c r="AB1469" i="8"/>
  <c r="AB1468" i="8"/>
  <c r="AB1467" i="8"/>
  <c r="AB1466" i="8"/>
  <c r="AB1465" i="8"/>
  <c r="AB1464" i="8"/>
  <c r="AB1463" i="8"/>
  <c r="AB1462" i="8"/>
  <c r="AB1461" i="8"/>
  <c r="AB1460" i="8"/>
  <c r="AB1459" i="8"/>
  <c r="AB1458" i="8"/>
  <c r="AB1457" i="8"/>
  <c r="AB1456" i="8"/>
  <c r="AB1455" i="8"/>
  <c r="AB1454" i="8"/>
  <c r="AB1453" i="8"/>
  <c r="AB1452" i="8"/>
  <c r="AB1451" i="8"/>
  <c r="AB1450" i="8"/>
  <c r="AB1444" i="8"/>
  <c r="AB1443" i="8"/>
  <c r="AB1442" i="8"/>
  <c r="AB1441" i="8"/>
  <c r="AB1440" i="8"/>
  <c r="AB1439" i="8"/>
  <c r="AB1438" i="8"/>
  <c r="AB1437" i="8"/>
  <c r="AB1436" i="8"/>
  <c r="AB1435" i="8"/>
  <c r="AB1434" i="8"/>
  <c r="AB1433" i="8"/>
  <c r="AB1432" i="8"/>
  <c r="AB1431" i="8"/>
  <c r="AB1430" i="8"/>
  <c r="AB1429" i="8"/>
  <c r="AB1428" i="8"/>
  <c r="AB1427" i="8"/>
  <c r="AB1426" i="8"/>
  <c r="AB1425" i="8"/>
  <c r="AB1424" i="8"/>
  <c r="AB1423" i="8"/>
  <c r="AB1422" i="8"/>
  <c r="AB1421" i="8"/>
  <c r="AB1420" i="8"/>
  <c r="AB1419" i="8"/>
  <c r="AB1418" i="8"/>
  <c r="AB1417" i="8"/>
  <c r="AB1416" i="8"/>
  <c r="AB1415" i="8"/>
  <c r="AB1414" i="8"/>
  <c r="AB1413" i="8"/>
  <c r="AB1412" i="8"/>
  <c r="AB1411" i="8"/>
  <c r="AB1410" i="8"/>
  <c r="AB1409" i="8"/>
  <c r="AB1408" i="8"/>
  <c r="AB1407" i="8"/>
  <c r="AB1406" i="8"/>
  <c r="AB1405" i="8"/>
  <c r="AB1404" i="8"/>
  <c r="AB1403" i="8"/>
  <c r="AB1402" i="8"/>
  <c r="AB1401" i="8"/>
  <c r="AB1400" i="8"/>
  <c r="AB1399" i="8"/>
  <c r="AB1398" i="8"/>
  <c r="AB1397" i="8"/>
  <c r="AB1396" i="8"/>
  <c r="AB1395" i="8"/>
  <c r="AB1394" i="8"/>
  <c r="AB1393" i="8"/>
  <c r="AB1392" i="8"/>
  <c r="AB1391" i="8"/>
  <c r="AB1390" i="8"/>
  <c r="AB1389" i="8"/>
  <c r="AB1388" i="8"/>
  <c r="AB1387" i="8"/>
  <c r="AB1336" i="8"/>
  <c r="AB1335" i="8"/>
  <c r="AB1334" i="8"/>
  <c r="AB1333" i="8"/>
  <c r="AB1332" i="8"/>
  <c r="AB1331" i="8"/>
  <c r="AB1330" i="8"/>
  <c r="AB1328" i="8"/>
  <c r="AB1327" i="8"/>
  <c r="AB1325" i="8"/>
  <c r="AB1324" i="8"/>
  <c r="AB1323" i="8"/>
  <c r="AB1322" i="8"/>
  <c r="AB1321" i="8"/>
  <c r="AB1320" i="8"/>
  <c r="AB1319" i="8"/>
  <c r="AB1318" i="8"/>
  <c r="AB1317" i="8"/>
  <c r="AB1316" i="8"/>
  <c r="AB1315" i="8"/>
  <c r="AB1314" i="8"/>
  <c r="AB1313" i="8"/>
  <c r="AB1312" i="8"/>
  <c r="AB1311" i="8"/>
  <c r="AB1310" i="8"/>
  <c r="AB1309" i="8"/>
  <c r="AB1308" i="8"/>
  <c r="AB1306" i="8"/>
  <c r="AB1305" i="8"/>
  <c r="AB1304" i="8"/>
  <c r="AB1303" i="8"/>
  <c r="AB1302" i="8"/>
  <c r="AB1301" i="8"/>
  <c r="AB1300" i="8"/>
  <c r="AB1299" i="8"/>
  <c r="AB1298" i="8"/>
  <c r="AB1297" i="8"/>
  <c r="AB1296" i="8"/>
  <c r="AB1295" i="8"/>
  <c r="AB1294" i="8"/>
  <c r="AB1293" i="8"/>
  <c r="AB1292" i="8"/>
  <c r="AB1291" i="8"/>
  <c r="AB1289" i="8"/>
  <c r="AB1288" i="8"/>
  <c r="AB1287" i="8"/>
  <c r="AB1286" i="8"/>
  <c r="AB1285" i="8"/>
  <c r="AB1284" i="8"/>
  <c r="AB1283" i="8"/>
  <c r="AB1282" i="8"/>
  <c r="AB1281" i="8"/>
  <c r="AB1279" i="8"/>
  <c r="AB1278" i="8"/>
  <c r="AB1277" i="8"/>
  <c r="AB1276" i="8"/>
  <c r="AB1275" i="8"/>
  <c r="AB1274" i="8"/>
  <c r="AB1273" i="8"/>
  <c r="AB1272" i="8"/>
  <c r="AB1271" i="8"/>
  <c r="AB1270" i="8"/>
  <c r="AB1269" i="8"/>
  <c r="AB1268" i="8"/>
  <c r="AB1267" i="8"/>
  <c r="AB1266" i="8"/>
  <c r="AB1264" i="8"/>
  <c r="AB1263" i="8"/>
  <c r="AB1262" i="8"/>
  <c r="AB1261" i="8"/>
  <c r="AB1260" i="8"/>
  <c r="AB1259" i="8"/>
  <c r="AB1258" i="8"/>
  <c r="AB1257" i="8"/>
  <c r="AB1256" i="8"/>
  <c r="AB1254" i="8"/>
  <c r="AB1253" i="8"/>
  <c r="AB1252" i="8"/>
  <c r="AB1251" i="8"/>
  <c r="AB1250" i="8"/>
  <c r="AB1249" i="8"/>
  <c r="AB1248" i="8"/>
  <c r="AB1247" i="8"/>
  <c r="AB1246" i="8"/>
  <c r="AB1245" i="8"/>
  <c r="AB1244" i="8"/>
  <c r="AB1243" i="8"/>
  <c r="AB1242" i="8"/>
  <c r="AB1241" i="8"/>
  <c r="AB1239" i="8"/>
  <c r="AB1238" i="8"/>
  <c r="AB1237" i="8"/>
  <c r="AB1236" i="8"/>
  <c r="AB1235" i="8"/>
  <c r="AB1234" i="8"/>
  <c r="AB1233" i="8"/>
  <c r="AB1232" i="8"/>
  <c r="AB1231" i="8"/>
  <c r="AB1229" i="8"/>
  <c r="AB1228" i="8"/>
  <c r="AB1227" i="8"/>
  <c r="AB1226" i="8"/>
  <c r="AB1225" i="8"/>
  <c r="AB1224" i="8"/>
  <c r="AB1223" i="8"/>
  <c r="AB1222" i="8"/>
  <c r="AB1221" i="8"/>
  <c r="AB1219" i="8"/>
  <c r="AB1218" i="8"/>
  <c r="AB1217" i="8"/>
  <c r="AB1216" i="8"/>
  <c r="AB1215" i="8"/>
  <c r="AB1214" i="8"/>
  <c r="AB1213" i="8"/>
  <c r="AB1212" i="8"/>
  <c r="AB1211" i="8"/>
  <c r="AB1210" i="8"/>
  <c r="AB1209" i="8"/>
  <c r="AB1208" i="8"/>
  <c r="AB1207" i="8"/>
  <c r="AB1206" i="8"/>
  <c r="AB1205" i="8"/>
  <c r="AB1204" i="8"/>
  <c r="AB1203" i="8"/>
  <c r="AB1202" i="8"/>
  <c r="AB1201" i="8"/>
  <c r="AB1200" i="8"/>
  <c r="AB1199" i="8"/>
  <c r="AB1197" i="8"/>
  <c r="AB1196" i="8"/>
  <c r="AB1195" i="8"/>
  <c r="AB1194" i="8"/>
  <c r="AB1193" i="8"/>
  <c r="AB1192" i="8"/>
  <c r="AB1191" i="8"/>
  <c r="AB1190" i="8"/>
  <c r="AB1189" i="8"/>
  <c r="AB1187" i="8"/>
  <c r="AB1186" i="8"/>
  <c r="AB1185" i="8"/>
  <c r="AB1184" i="8"/>
  <c r="AB1183" i="8"/>
  <c r="AB1182" i="8"/>
  <c r="AB1181" i="8"/>
  <c r="AB1180" i="8"/>
  <c r="AB1179" i="8"/>
  <c r="AB1178" i="8"/>
  <c r="AB1177" i="8"/>
  <c r="AB1175" i="8"/>
  <c r="AB1174" i="8"/>
  <c r="AB1173" i="8"/>
  <c r="AB1172" i="8"/>
  <c r="AB1170" i="8"/>
  <c r="AB1169" i="8"/>
  <c r="AB1168" i="8"/>
  <c r="AB1166" i="8"/>
  <c r="AB1165" i="8"/>
  <c r="AB1163" i="8"/>
  <c r="AB1162" i="8"/>
  <c r="AB1161" i="8"/>
  <c r="AB1160" i="8"/>
  <c r="AB1159" i="8"/>
  <c r="AB1158" i="8"/>
  <c r="AB1157" i="8"/>
  <c r="AB1156" i="8"/>
  <c r="AB1155" i="8"/>
  <c r="AB1153" i="8"/>
  <c r="AB1152" i="8"/>
  <c r="AB1151" i="8"/>
  <c r="AB1150" i="8"/>
  <c r="AB1149" i="8"/>
  <c r="AB1148" i="8"/>
  <c r="AB1147" i="8"/>
  <c r="AB1146" i="8"/>
  <c r="AB1145" i="8"/>
  <c r="AB1144" i="8"/>
  <c r="AB1143" i="8"/>
  <c r="AB1141" i="8"/>
  <c r="AB1140" i="8"/>
  <c r="AB1139" i="8"/>
  <c r="AB1138" i="8"/>
  <c r="AB1136" i="8"/>
  <c r="AB1135" i="8"/>
  <c r="AB1134" i="8"/>
  <c r="AB1132" i="8"/>
  <c r="AB1131" i="8"/>
  <c r="AB1129" i="8"/>
  <c r="AB1128" i="8"/>
  <c r="AB1127" i="8"/>
  <c r="AB1126" i="8"/>
  <c r="AB1125" i="8"/>
  <c r="AB1124" i="8"/>
  <c r="AB1123" i="8"/>
  <c r="AB1122" i="8"/>
  <c r="AB1121" i="8"/>
  <c r="AB1119" i="8"/>
  <c r="AB1118" i="8"/>
  <c r="AB1117" i="8"/>
  <c r="AB1116" i="8"/>
  <c r="AB1115" i="8"/>
  <c r="AB1114" i="8"/>
  <c r="AB1113" i="8"/>
  <c r="AB1112" i="8"/>
  <c r="AB1111" i="8"/>
  <c r="AB1110" i="8"/>
  <c r="AB1109" i="8"/>
  <c r="AB1108" i="8"/>
  <c r="AB1107" i="8"/>
  <c r="AB1106" i="8"/>
  <c r="AB1104" i="8"/>
  <c r="AB1103" i="8"/>
  <c r="AB1102" i="8"/>
  <c r="AB1101" i="8"/>
  <c r="AB1100" i="8"/>
  <c r="AB1099" i="8"/>
  <c r="AB1098" i="8"/>
  <c r="AB1097" i="8"/>
  <c r="AB1096" i="8"/>
  <c r="AB1094" i="8"/>
  <c r="AB1093" i="8"/>
  <c r="AB1092" i="8"/>
  <c r="AB1091" i="8"/>
  <c r="AB1090" i="8"/>
  <c r="AB1089" i="8"/>
  <c r="AB1088" i="8"/>
  <c r="AB1077" i="8"/>
  <c r="AB1076" i="8"/>
  <c r="AB1075" i="8"/>
  <c r="AB1074" i="8"/>
  <c r="AB1073" i="8"/>
  <c r="AB1072" i="8"/>
  <c r="AB1071" i="8"/>
  <c r="AB1069" i="8"/>
  <c r="AB1068" i="8"/>
  <c r="AB1067" i="8"/>
  <c r="AB1066" i="8"/>
  <c r="AB1065" i="8"/>
  <c r="AB1064" i="8"/>
  <c r="AB1063" i="8"/>
  <c r="AB1062" i="8"/>
  <c r="AB1061" i="8"/>
  <c r="AB1060" i="8"/>
  <c r="AB1059" i="8"/>
  <c r="AB1058" i="8"/>
  <c r="AB1057" i="8"/>
  <c r="AB1056" i="8"/>
  <c r="AB1052" i="8"/>
  <c r="AB1051" i="8"/>
  <c r="AB1050" i="8"/>
  <c r="AB1049" i="8"/>
  <c r="AB1048" i="8"/>
  <c r="AB1047" i="8"/>
  <c r="AB1046" i="8"/>
  <c r="AB1045" i="8"/>
  <c r="AB1044" i="8"/>
  <c r="AB1038" i="8"/>
  <c r="AB1037" i="8"/>
  <c r="AB1036" i="8"/>
  <c r="AB1035" i="8"/>
  <c r="AB1034" i="8"/>
  <c r="AB1033" i="8"/>
  <c r="AB1032" i="8"/>
  <c r="AB1031" i="8"/>
  <c r="AB1030" i="8"/>
  <c r="AB1029" i="8"/>
  <c r="AB1028" i="8"/>
  <c r="AB1027" i="8"/>
  <c r="AB1026" i="8"/>
  <c r="AB1025" i="8"/>
  <c r="AB1023" i="8"/>
  <c r="AB1022" i="8"/>
  <c r="AB1021" i="8"/>
  <c r="AB1020" i="8"/>
  <c r="AB1019" i="8"/>
  <c r="AB1018" i="8"/>
  <c r="AB1017" i="8"/>
  <c r="AB1016" i="8"/>
  <c r="AB1015" i="8"/>
  <c r="AB1012" i="8"/>
  <c r="AB1011" i="8"/>
  <c r="AB1010" i="8"/>
  <c r="AB1009" i="8"/>
  <c r="AB1008" i="8"/>
  <c r="AB1007" i="8"/>
  <c r="AB1006" i="8"/>
  <c r="AB1005" i="8"/>
  <c r="AB1004" i="8"/>
  <c r="AB931" i="8"/>
  <c r="AB918" i="8"/>
  <c r="AB917" i="8"/>
  <c r="AB915" i="8"/>
  <c r="AB914" i="8"/>
  <c r="AB913" i="8"/>
  <c r="AB911" i="8"/>
  <c r="AB909" i="8"/>
  <c r="AB908" i="8"/>
  <c r="AB907" i="8"/>
  <c r="AB906" i="8"/>
  <c r="AB905" i="8"/>
  <c r="AB903" i="8"/>
  <c r="AB902" i="8"/>
  <c r="AB901" i="8"/>
  <c r="AB899" i="8"/>
  <c r="AB897" i="8"/>
  <c r="AB896" i="8"/>
  <c r="AB895" i="8"/>
  <c r="AB894" i="8"/>
  <c r="AB893" i="8"/>
  <c r="AB892" i="8"/>
  <c r="AB890" i="8"/>
  <c r="AB889" i="8"/>
  <c r="AB888" i="8"/>
  <c r="AB887" i="8"/>
  <c r="AB885" i="8"/>
  <c r="AB883" i="8"/>
  <c r="AB882" i="8"/>
  <c r="AB881" i="8"/>
  <c r="AB880" i="8"/>
  <c r="AB879" i="8"/>
  <c r="AB878" i="8"/>
  <c r="AB877" i="8"/>
  <c r="AB876" i="8"/>
  <c r="AB875" i="8"/>
  <c r="AB874" i="8"/>
  <c r="AB873" i="8"/>
  <c r="AB872" i="8"/>
  <c r="AB871" i="8"/>
  <c r="AB870" i="8"/>
  <c r="AB869" i="8"/>
  <c r="AB868" i="8"/>
  <c r="AB867" i="8"/>
  <c r="AB866" i="8"/>
  <c r="AB865" i="8"/>
  <c r="AB864" i="8"/>
  <c r="AB863" i="8"/>
  <c r="AB862" i="8"/>
  <c r="AB861" i="8"/>
  <c r="AB860" i="8"/>
  <c r="AB856" i="8"/>
  <c r="AB855" i="8"/>
  <c r="AB854" i="8"/>
  <c r="AB853" i="8"/>
  <c r="AB852" i="8"/>
  <c r="AB851" i="8"/>
  <c r="AB850" i="8"/>
  <c r="AB849" i="8"/>
  <c r="AB848" i="8"/>
  <c r="AB847" i="8"/>
  <c r="AB846" i="8"/>
  <c r="AB845" i="8"/>
  <c r="AB844" i="8"/>
  <c r="AB843" i="8"/>
  <c r="AB842" i="8"/>
  <c r="AB841" i="8"/>
  <c r="AB840" i="8"/>
  <c r="AB839" i="8"/>
  <c r="AB838" i="8"/>
  <c r="AB836" i="8"/>
  <c r="AB834" i="8"/>
  <c r="AB833" i="8"/>
  <c r="AB832" i="8"/>
  <c r="AB831" i="8"/>
  <c r="AB830" i="8"/>
  <c r="AB829" i="8"/>
  <c r="AB828" i="8"/>
  <c r="AB825" i="8"/>
  <c r="AB824" i="8"/>
  <c r="AB823" i="8"/>
  <c r="AB822" i="8"/>
  <c r="AB821" i="8"/>
  <c r="AB820" i="8"/>
  <c r="AB819" i="8"/>
  <c r="AB818" i="8"/>
  <c r="AB817" i="8"/>
  <c r="AB814" i="8"/>
  <c r="AB813" i="8"/>
  <c r="AB812" i="8"/>
  <c r="AB811" i="8"/>
  <c r="AB808" i="8"/>
  <c r="AB807" i="8"/>
  <c r="AB806" i="8"/>
  <c r="AB803" i="8"/>
  <c r="AB802" i="8"/>
  <c r="AB800" i="8"/>
  <c r="AB799" i="8"/>
  <c r="AB798" i="8"/>
  <c r="AB797" i="8"/>
  <c r="AB796" i="8"/>
  <c r="AB795" i="8"/>
  <c r="AB794" i="8"/>
  <c r="AB793" i="8"/>
  <c r="AB792" i="8"/>
  <c r="AB790" i="8"/>
  <c r="AB789" i="8"/>
  <c r="AB788" i="8"/>
  <c r="AB787" i="8"/>
  <c r="AB786" i="8"/>
  <c r="AB785" i="8"/>
  <c r="AB784" i="8"/>
  <c r="AB783" i="8"/>
  <c r="AB782" i="8"/>
  <c r="AB781" i="8"/>
  <c r="AB780" i="8"/>
  <c r="AB779" i="8"/>
  <c r="AB778" i="8"/>
  <c r="AB777" i="8"/>
  <c r="AB776" i="8"/>
  <c r="AB775" i="8"/>
  <c r="AB774" i="8"/>
  <c r="AB773" i="8"/>
  <c r="AB772" i="8"/>
  <c r="AB771" i="8"/>
  <c r="AB770" i="8"/>
  <c r="AB769" i="8"/>
  <c r="AB768" i="8"/>
  <c r="AB767" i="8"/>
  <c r="AB754" i="8"/>
  <c r="AB753" i="8"/>
  <c r="AB751" i="8"/>
  <c r="AB750" i="8"/>
  <c r="AB749" i="8"/>
  <c r="AB748" i="8"/>
  <c r="AB746" i="8"/>
  <c r="AB745" i="8"/>
  <c r="AB744" i="8"/>
  <c r="AB740" i="8"/>
  <c r="AB739" i="8"/>
  <c r="AB738" i="8"/>
  <c r="AB737" i="8"/>
  <c r="AB736" i="8"/>
  <c r="AB735" i="8"/>
  <c r="AB734" i="8"/>
  <c r="AB733" i="8"/>
  <c r="AB732" i="8"/>
  <c r="AB730" i="8"/>
  <c r="AB729" i="8"/>
  <c r="AB728" i="8"/>
  <c r="AB727" i="8"/>
  <c r="AB726" i="8"/>
  <c r="AB725" i="8"/>
  <c r="AB724" i="8"/>
  <c r="AB723" i="8"/>
  <c r="AB722" i="8"/>
  <c r="AB720" i="8"/>
  <c r="AB719" i="8"/>
  <c r="AB718" i="8"/>
  <c r="AB717" i="8"/>
  <c r="AB716" i="8"/>
  <c r="AB715" i="8"/>
  <c r="AB714" i="8"/>
  <c r="AB713" i="8"/>
  <c r="AB712" i="8"/>
  <c r="AB711" i="8"/>
  <c r="AB710" i="8"/>
  <c r="AB709" i="8"/>
  <c r="AB708" i="8"/>
  <c r="AB707" i="8"/>
  <c r="AB706" i="8"/>
  <c r="AB705" i="8"/>
  <c r="AB704" i="8"/>
  <c r="AB703" i="8"/>
  <c r="AB702" i="8"/>
  <c r="AB701" i="8"/>
  <c r="AB700" i="8"/>
  <c r="AB699" i="8"/>
  <c r="AB698" i="8"/>
  <c r="AB697" i="8"/>
  <c r="AB696" i="8"/>
  <c r="AB695" i="8"/>
  <c r="AB694" i="8"/>
  <c r="AB693" i="8"/>
  <c r="AB692" i="8"/>
  <c r="AB691" i="8"/>
  <c r="AB690" i="8"/>
  <c r="AB689" i="8"/>
  <c r="AB688" i="8"/>
  <c r="AB687" i="8"/>
  <c r="AB686" i="8"/>
  <c r="AB685" i="8"/>
  <c r="AB684" i="8"/>
  <c r="AB683" i="8"/>
  <c r="AB682" i="8"/>
  <c r="AB681" i="8"/>
  <c r="AB640" i="8"/>
  <c r="AB639" i="8"/>
  <c r="AB638" i="8"/>
  <c r="AB637" i="8"/>
  <c r="AB636" i="8"/>
  <c r="AB635" i="8"/>
  <c r="AB634" i="8"/>
  <c r="AB633" i="8"/>
  <c r="AB632" i="8"/>
  <c r="AB631" i="8"/>
  <c r="AB630" i="8"/>
  <c r="AB629" i="8"/>
  <c r="AB628" i="8"/>
  <c r="AB627" i="8"/>
  <c r="AB626" i="8"/>
  <c r="AB625" i="8"/>
  <c r="AB624" i="8"/>
  <c r="AB623" i="8"/>
  <c r="AB622" i="8"/>
  <c r="AB621" i="8"/>
  <c r="AB620" i="8"/>
  <c r="AB619" i="8"/>
  <c r="AB618" i="8"/>
  <c r="AB617" i="8"/>
  <c r="AB616" i="8"/>
  <c r="AB615" i="8"/>
  <c r="AB614" i="8"/>
  <c r="AB613" i="8"/>
  <c r="AB612" i="8"/>
  <c r="AB611" i="8"/>
  <c r="AB610" i="8"/>
  <c r="AB609" i="8"/>
  <c r="AB608" i="8"/>
  <c r="AB607" i="8"/>
  <c r="AB606" i="8"/>
  <c r="AB605" i="8"/>
  <c r="AB604" i="8"/>
  <c r="AB603" i="8"/>
  <c r="AB602" i="8"/>
  <c r="AB601" i="8"/>
  <c r="AB600" i="8"/>
  <c r="AB599" i="8"/>
  <c r="AB598" i="8"/>
  <c r="AB597" i="8"/>
  <c r="AB596" i="8"/>
  <c r="AB595" i="8"/>
  <c r="AB594" i="8"/>
  <c r="AB593" i="8"/>
  <c r="AB592" i="8"/>
  <c r="AB591" i="8"/>
  <c r="AB590" i="8"/>
  <c r="AB589" i="8"/>
  <c r="AB588" i="8"/>
  <c r="AB587" i="8"/>
  <c r="AB586" i="8"/>
  <c r="AB585" i="8"/>
  <c r="AB584" i="8"/>
  <c r="AB582" i="8"/>
  <c r="AB581" i="8"/>
  <c r="AB580" i="8"/>
  <c r="AB579" i="8"/>
  <c r="AB578" i="8"/>
  <c r="AB522" i="8"/>
  <c r="AB521" i="8"/>
  <c r="AB520" i="8"/>
  <c r="AB519" i="8"/>
  <c r="AB518" i="8"/>
  <c r="AB516" i="8"/>
  <c r="AB515" i="8"/>
  <c r="AB514" i="8"/>
  <c r="AB513" i="8"/>
  <c r="AB512" i="8"/>
  <c r="AB510" i="8"/>
  <c r="AB509" i="8"/>
  <c r="AB508" i="8"/>
  <c r="AB506" i="8"/>
  <c r="AB505" i="8"/>
  <c r="AB503" i="8"/>
  <c r="AB502" i="8"/>
  <c r="AB501" i="8"/>
  <c r="AB500" i="8"/>
  <c r="AB498" i="8"/>
  <c r="AB497" i="8"/>
  <c r="AB496" i="8"/>
  <c r="AB495" i="8"/>
  <c r="AB493" i="8"/>
  <c r="AB492" i="8"/>
  <c r="AB491" i="8"/>
  <c r="AB489" i="8"/>
  <c r="AB488" i="8"/>
  <c r="AB487" i="8"/>
  <c r="AB486" i="8"/>
  <c r="AB485" i="8"/>
  <c r="AB484" i="8"/>
  <c r="AB483" i="8"/>
  <c r="AB482" i="8"/>
  <c r="AB481" i="8"/>
  <c r="AB478" i="8"/>
  <c r="AB477" i="8"/>
  <c r="AB476" i="8"/>
  <c r="AB475" i="8"/>
  <c r="AB474" i="8"/>
  <c r="AB473" i="8"/>
  <c r="AB472" i="8"/>
  <c r="AB471" i="8"/>
  <c r="AB470" i="8"/>
  <c r="AB469" i="8"/>
  <c r="AB468" i="8"/>
  <c r="AB467" i="8"/>
  <c r="AB466" i="8"/>
  <c r="AB465" i="8"/>
  <c r="AB464" i="8"/>
  <c r="AB463" i="8"/>
  <c r="AB462" i="8"/>
  <c r="AB461" i="8"/>
  <c r="AB460" i="8"/>
  <c r="AB459" i="8"/>
  <c r="AB458" i="8"/>
  <c r="AB457" i="8"/>
  <c r="AB456" i="8"/>
  <c r="AB455" i="8"/>
  <c r="AB454" i="8"/>
  <c r="AB453" i="8"/>
  <c r="AB452" i="8"/>
  <c r="AB451" i="8"/>
  <c r="AB449" i="8"/>
  <c r="AB448" i="8"/>
  <c r="AB447" i="8"/>
  <c r="AB446" i="8"/>
  <c r="AB445" i="8"/>
  <c r="AB444" i="8"/>
  <c r="AB443" i="8"/>
  <c r="AB442" i="8"/>
  <c r="AB441" i="8"/>
  <c r="AB440" i="8"/>
  <c r="AB439" i="8"/>
  <c r="AB437" i="8"/>
  <c r="AB436" i="8"/>
  <c r="AB435" i="8"/>
  <c r="AB434" i="8"/>
  <c r="AB433" i="8"/>
  <c r="AB432" i="8"/>
  <c r="AB431" i="8"/>
  <c r="AB430" i="8"/>
  <c r="AB429" i="8"/>
  <c r="AB426" i="8"/>
  <c r="AB425" i="8"/>
  <c r="AB424" i="8"/>
  <c r="AB423" i="8"/>
  <c r="AB422" i="8"/>
  <c r="AB421" i="8"/>
  <c r="AB420" i="8"/>
  <c r="AB419" i="8"/>
  <c r="AB418" i="8"/>
  <c r="AB415" i="8"/>
  <c r="AB414" i="8"/>
  <c r="AB413" i="8"/>
  <c r="AB412" i="8"/>
  <c r="AB411" i="8"/>
  <c r="AB410" i="8"/>
  <c r="AB409" i="8"/>
  <c r="AB408" i="8"/>
  <c r="AB407" i="8"/>
  <c r="AB405" i="8"/>
  <c r="AB404" i="8"/>
  <c r="AB403" i="8"/>
  <c r="AB402" i="8"/>
  <c r="AB401" i="8"/>
  <c r="AB400" i="8"/>
  <c r="AB399" i="8"/>
  <c r="AB398" i="8"/>
  <c r="AB397" i="8"/>
  <c r="AB394" i="8"/>
  <c r="AB393" i="8"/>
  <c r="AB392" i="8"/>
  <c r="AB391" i="8"/>
  <c r="AB390" i="8"/>
  <c r="AB389" i="8"/>
  <c r="AB388" i="8"/>
  <c r="AB387" i="8"/>
  <c r="AB386" i="8"/>
  <c r="AB385" i="8"/>
  <c r="AB384" i="8"/>
  <c r="AB383" i="8"/>
  <c r="AB382" i="8"/>
  <c r="AB381" i="8"/>
  <c r="AB380" i="8"/>
  <c r="AB379" i="8"/>
  <c r="AB378" i="8"/>
  <c r="AB377" i="8"/>
  <c r="AB376" i="8"/>
  <c r="AB375" i="8"/>
  <c r="AB374" i="8"/>
  <c r="AB373" i="8"/>
  <c r="AB372" i="8"/>
  <c r="AB371" i="8"/>
  <c r="AB370" i="8"/>
  <c r="AB369" i="8"/>
  <c r="AB368" i="8"/>
  <c r="AB367" i="8"/>
  <c r="AB366" i="8"/>
  <c r="AB365" i="8"/>
  <c r="AB364" i="8"/>
  <c r="AB363" i="8"/>
  <c r="AB362" i="8"/>
  <c r="AB361" i="8"/>
  <c r="AB360" i="8"/>
  <c r="AB359" i="8"/>
  <c r="AB358" i="8"/>
  <c r="AB357" i="8"/>
  <c r="AB356" i="8"/>
  <c r="AB352" i="8"/>
  <c r="AB351" i="8"/>
  <c r="AB350" i="8"/>
  <c r="AB349" i="8"/>
  <c r="AB348" i="8"/>
  <c r="AB347" i="8"/>
  <c r="AB346" i="8"/>
  <c r="AB345" i="8"/>
  <c r="AB344" i="8"/>
  <c r="AB343" i="8"/>
  <c r="AB342" i="8"/>
  <c r="AB341" i="8"/>
  <c r="AB340" i="8"/>
  <c r="AB339" i="8"/>
  <c r="AB338" i="8"/>
  <c r="AB337" i="8"/>
  <c r="AB336" i="8"/>
  <c r="AB335" i="8"/>
  <c r="AB334" i="8"/>
  <c r="AB333" i="8"/>
  <c r="AB332" i="8"/>
  <c r="AB331" i="8"/>
  <c r="AB330" i="8"/>
  <c r="AB329" i="8"/>
  <c r="AB328" i="8"/>
  <c r="AB327" i="8"/>
  <c r="AB326" i="8"/>
  <c r="AB325" i="8"/>
  <c r="AB324" i="8"/>
  <c r="AB323" i="8"/>
  <c r="AB322" i="8"/>
  <c r="AB321" i="8"/>
  <c r="AB320" i="8"/>
  <c r="AB319" i="8"/>
  <c r="AB318" i="8"/>
  <c r="AB317" i="8"/>
  <c r="AB316" i="8"/>
  <c r="AB315" i="8"/>
  <c r="AB314" i="8"/>
  <c r="AB313" i="8"/>
  <c r="AB312" i="8"/>
  <c r="AB311" i="8"/>
  <c r="AB310" i="8"/>
  <c r="AB309" i="8"/>
  <c r="AB308" i="8"/>
  <c r="AB307" i="8"/>
  <c r="AB306" i="8"/>
  <c r="AB305" i="8"/>
  <c r="AB304" i="8"/>
  <c r="AB303" i="8"/>
  <c r="AB302" i="8"/>
  <c r="AB301" i="8"/>
  <c r="AB300" i="8"/>
  <c r="AB299" i="8"/>
  <c r="AB297" i="8"/>
  <c r="AB296" i="8"/>
  <c r="AB295" i="8"/>
  <c r="AB294" i="8"/>
  <c r="AB293" i="8"/>
  <c r="AB292" i="8"/>
  <c r="AB291" i="8"/>
  <c r="AB290" i="8"/>
  <c r="AB289" i="8"/>
  <c r="AB288" i="8"/>
  <c r="AB287" i="8"/>
  <c r="AB286" i="8"/>
  <c r="AB285" i="8"/>
  <c r="AB284" i="8"/>
  <c r="AB283" i="8"/>
  <c r="AB282" i="8"/>
  <c r="AB281" i="8"/>
  <c r="AB280" i="8"/>
  <c r="AB279" i="8"/>
  <c r="AB278" i="8"/>
  <c r="AB277" i="8"/>
  <c r="AB276" i="8"/>
  <c r="AB275" i="8"/>
  <c r="AB274" i="8"/>
  <c r="AB273" i="8"/>
  <c r="AB272" i="8"/>
  <c r="AB271" i="8"/>
  <c r="AB270" i="8"/>
  <c r="AB269" i="8"/>
  <c r="AB268" i="8"/>
  <c r="AB267" i="8"/>
  <c r="AB266" i="8"/>
  <c r="AB265" i="8"/>
  <c r="AB264" i="8"/>
  <c r="AB263" i="8"/>
  <c r="AB262" i="8"/>
  <c r="AB261" i="8"/>
  <c r="AB260" i="8"/>
  <c r="AB259" i="8"/>
  <c r="AB258" i="8"/>
  <c r="AB257" i="8"/>
  <c r="AB256" i="8"/>
  <c r="AB255" i="8"/>
  <c r="AB254" i="8"/>
  <c r="AB253" i="8"/>
  <c r="AB252" i="8"/>
  <c r="AB251" i="8"/>
  <c r="AB250" i="8"/>
  <c r="AB249" i="8"/>
  <c r="AB248" i="8"/>
  <c r="AB247" i="8"/>
  <c r="AB246" i="8"/>
  <c r="AB245" i="8"/>
  <c r="AB244" i="8"/>
  <c r="AB243" i="8"/>
  <c r="AB242" i="8"/>
  <c r="AB241" i="8"/>
  <c r="AB240" i="8"/>
  <c r="AB239" i="8"/>
  <c r="AB238" i="8"/>
  <c r="AB237" i="8"/>
  <c r="AB200" i="8"/>
  <c r="AB199" i="8"/>
  <c r="AB198" i="8"/>
  <c r="AB197" i="8"/>
  <c r="AB196" i="8"/>
  <c r="AB195" i="8"/>
  <c r="AB194" i="8"/>
  <c r="AB193" i="8"/>
  <c r="AB192" i="8"/>
  <c r="AB191" i="8"/>
  <c r="AB190" i="8"/>
  <c r="AB189" i="8"/>
  <c r="AB188" i="8"/>
  <c r="AB187" i="8"/>
  <c r="AB186" i="8"/>
  <c r="AB185" i="8"/>
  <c r="AB184" i="8"/>
  <c r="AB183" i="8"/>
  <c r="AB182" i="8"/>
  <c r="AB181" i="8"/>
  <c r="AB180" i="8"/>
  <c r="AB179" i="8"/>
  <c r="AB178" i="8"/>
  <c r="AB177" i="8"/>
  <c r="AB176" i="8"/>
  <c r="AB175" i="8"/>
  <c r="AB174" i="8"/>
  <c r="AB173" i="8"/>
  <c r="AB172" i="8"/>
  <c r="AB171" i="8"/>
  <c r="AB170" i="8"/>
  <c r="AB169" i="8"/>
  <c r="AB168" i="8"/>
  <c r="AB167" i="8"/>
  <c r="AB166" i="8"/>
  <c r="AB165" i="8"/>
  <c r="AB164" i="8"/>
  <c r="AB163" i="8"/>
  <c r="AB162" i="8"/>
  <c r="AB161" i="8"/>
  <c r="AB160" i="8"/>
  <c r="AB159" i="8"/>
  <c r="AB158" i="8"/>
  <c r="AB157" i="8"/>
  <c r="AB156" i="8"/>
  <c r="AB155" i="8"/>
  <c r="AB154" i="8"/>
  <c r="AB153" i="8"/>
  <c r="AB152" i="8"/>
  <c r="AB151" i="8"/>
  <c r="AB150" i="8"/>
  <c r="AB149" i="8"/>
  <c r="AB148" i="8"/>
  <c r="AB147" i="8"/>
  <c r="AB146" i="8"/>
  <c r="AB145" i="8"/>
  <c r="AB144" i="8"/>
  <c r="AB143" i="8"/>
  <c r="AB142" i="8"/>
  <c r="AB141" i="8"/>
  <c r="AB140" i="8"/>
  <c r="AB139" i="8"/>
  <c r="AB138" i="8"/>
  <c r="AB137" i="8"/>
  <c r="AB136" i="8"/>
  <c r="AB135" i="8"/>
  <c r="AB134" i="8"/>
  <c r="AB133" i="8"/>
  <c r="AB132" i="8"/>
  <c r="AB131" i="8"/>
  <c r="AB130" i="8"/>
  <c r="AB129" i="8"/>
  <c r="AB128" i="8"/>
  <c r="AB127" i="8"/>
  <c r="AB126" i="8"/>
  <c r="AB125" i="8"/>
  <c r="AB124" i="8"/>
  <c r="AB123" i="8"/>
  <c r="AB122" i="8"/>
  <c r="AB121" i="8"/>
  <c r="AB120" i="8"/>
  <c r="AB119" i="8"/>
  <c r="AB118" i="8"/>
  <c r="AB117" i="8"/>
  <c r="AB116" i="8"/>
  <c r="AB115" i="8"/>
  <c r="AB114" i="8"/>
  <c r="AB113" i="8"/>
  <c r="AB112" i="8"/>
  <c r="AB111" i="8"/>
  <c r="AB110" i="8"/>
  <c r="AB109" i="8"/>
  <c r="AB108" i="8"/>
  <c r="AB107" i="8"/>
  <c r="AB106" i="8"/>
  <c r="AB105" i="8"/>
  <c r="AB104" i="8"/>
  <c r="AB103" i="8"/>
  <c r="AB102" i="8"/>
  <c r="AB101" i="8"/>
  <c r="AB100" i="8"/>
  <c r="AB99" i="8"/>
  <c r="AB98" i="8"/>
  <c r="AB97" i="8"/>
  <c r="AB96" i="8"/>
  <c r="AB95" i="8"/>
  <c r="AB94" i="8"/>
  <c r="AB93" i="8"/>
  <c r="AB92" i="8"/>
  <c r="AB91" i="8"/>
  <c r="AB90" i="8"/>
  <c r="AB89" i="8"/>
  <c r="AB88" i="8"/>
  <c r="AB87" i="8"/>
  <c r="AB86" i="8"/>
  <c r="AB85" i="8"/>
  <c r="AB84" i="8"/>
  <c r="AB83" i="8"/>
  <c r="AB82" i="8"/>
  <c r="AB81" i="8"/>
  <c r="AB80" i="8"/>
  <c r="AB79" i="8"/>
  <c r="AB78" i="8"/>
  <c r="AB77" i="8"/>
  <c r="AB76" i="8"/>
  <c r="AB75" i="8"/>
  <c r="AB74" i="8"/>
  <c r="AB73" i="8"/>
  <c r="AB72" i="8"/>
  <c r="AB71" i="8"/>
  <c r="AB70" i="8"/>
  <c r="AB69" i="8"/>
  <c r="AB68" i="8"/>
  <c r="AB67" i="8"/>
  <c r="AB66" i="8"/>
  <c r="AB65" i="8"/>
  <c r="AB64" i="8"/>
  <c r="AB63" i="8"/>
  <c r="AB62" i="8"/>
  <c r="AB61" i="8"/>
  <c r="AB60" i="8"/>
  <c r="AB59" i="8"/>
  <c r="AB58" i="8"/>
  <c r="AB57" i="8"/>
  <c r="AB56" i="8"/>
  <c r="AB55" i="8"/>
  <c r="P809" i="8" l="1"/>
  <c r="P826" i="8" s="1"/>
  <c r="S804" i="8"/>
  <c r="S809" i="8" s="1"/>
  <c r="K129" i="7"/>
  <c r="R1774" i="8"/>
  <c r="R1778" i="8" s="1"/>
  <c r="R1782" i="8" s="1"/>
  <c r="S1774" i="8"/>
  <c r="S1778" i="8" s="1"/>
  <c r="S1782" i="8" s="1"/>
  <c r="P1133" i="8"/>
  <c r="P1137" i="8" s="1"/>
  <c r="L1137" i="8"/>
  <c r="L1138" i="8" s="1"/>
  <c r="AB1631" i="8"/>
  <c r="AB1630" i="8"/>
  <c r="AB1482" i="8"/>
  <c r="AB1307" i="8"/>
  <c r="AB910" i="8"/>
  <c r="AB859" i="8"/>
  <c r="AB858" i="8"/>
  <c r="AB857" i="8"/>
  <c r="AB837" i="8"/>
  <c r="AB396" i="8"/>
  <c r="M913" i="8"/>
  <c r="I913" i="8"/>
  <c r="Q910" i="8"/>
  <c r="P910" i="8"/>
  <c r="O910" i="8"/>
  <c r="K910" i="8"/>
  <c r="K912" i="8" s="1"/>
  <c r="J910" i="8"/>
  <c r="Q913" i="8" l="1"/>
  <c r="J913" i="8"/>
  <c r="O913" i="8"/>
  <c r="S910" i="8"/>
  <c r="R910" i="8"/>
  <c r="K913" i="8"/>
  <c r="H917" i="8"/>
  <c r="H918" i="8"/>
  <c r="N913" i="8"/>
  <c r="N917" i="8" s="1"/>
  <c r="M917" i="8"/>
  <c r="L917" i="8"/>
  <c r="I917" i="8"/>
  <c r="S913" i="8" l="1"/>
  <c r="Q917" i="8"/>
  <c r="Q914" i="8"/>
  <c r="Q918" i="8" s="1"/>
  <c r="J917" i="8"/>
  <c r="J914" i="8"/>
  <c r="J918" i="8" s="1"/>
  <c r="O917" i="8"/>
  <c r="O914" i="8"/>
  <c r="O918" i="8" s="1"/>
  <c r="K917" i="8"/>
  <c r="K914" i="8"/>
  <c r="K918" i="8" s="1"/>
  <c r="P917" i="8"/>
  <c r="P918" i="8"/>
  <c r="R913" i="8"/>
  <c r="I914" i="8"/>
  <c r="I916" i="8" s="1"/>
  <c r="J916" i="8" s="1"/>
  <c r="M914" i="8"/>
  <c r="M918" i="8" s="1"/>
  <c r="H200" i="7" s="1"/>
  <c r="L914" i="8"/>
  <c r="L918" i="8" s="1"/>
  <c r="N914" i="8"/>
  <c r="N918" i="8" s="1"/>
  <c r="AB816" i="8"/>
  <c r="AB1055" i="8"/>
  <c r="AB417" i="8"/>
  <c r="AB480" i="8"/>
  <c r="AB479" i="8"/>
  <c r="AB53" i="8"/>
  <c r="AB32" i="8"/>
  <c r="AB21" i="8"/>
  <c r="AB20" i="8"/>
  <c r="K916" i="8" l="1"/>
  <c r="I918" i="8"/>
  <c r="E200" i="7" s="1"/>
  <c r="R917" i="8"/>
  <c r="R914" i="8"/>
  <c r="R918" i="8" s="1"/>
  <c r="S917" i="8"/>
  <c r="S914" i="8"/>
  <c r="S918" i="8" s="1"/>
  <c r="M1057" i="8" l="1"/>
  <c r="L1057" i="8"/>
  <c r="I1057" i="8"/>
  <c r="Q1055" i="8"/>
  <c r="P1055" i="8"/>
  <c r="O1055" i="8"/>
  <c r="K1055" i="8"/>
  <c r="J1055" i="8"/>
  <c r="I482" i="8"/>
  <c r="I485" i="8" s="1"/>
  <c r="J210" i="8"/>
  <c r="J209" i="8"/>
  <c r="J1340" i="8"/>
  <c r="N485" i="8"/>
  <c r="Q479" i="8"/>
  <c r="P479" i="8"/>
  <c r="O479" i="8"/>
  <c r="K479" i="8"/>
  <c r="M482" i="8"/>
  <c r="M485" i="8" s="1"/>
  <c r="L482" i="8"/>
  <c r="L485" i="8" s="1"/>
  <c r="H482" i="8"/>
  <c r="H483" i="8" s="1"/>
  <c r="P483" i="8" s="1"/>
  <c r="I419" i="8"/>
  <c r="I357" i="8"/>
  <c r="I1398" i="8"/>
  <c r="Q1057" i="8" l="1"/>
  <c r="R1055" i="8"/>
  <c r="O1057" i="8"/>
  <c r="H485" i="8"/>
  <c r="S1055" i="8"/>
  <c r="S479" i="8"/>
  <c r="H25" i="20" l="1"/>
  <c r="M25" i="20"/>
  <c r="L25" i="20"/>
  <c r="K25" i="20"/>
  <c r="J25" i="20"/>
  <c r="I25" i="20"/>
  <c r="G25" i="20"/>
  <c r="M848" i="8" l="1"/>
  <c r="M855" i="8" s="1"/>
  <c r="L848" i="8"/>
  <c r="L873" i="8" s="1"/>
  <c r="H839" i="8"/>
  <c r="H864" i="8" s="1"/>
  <c r="H1005" i="8" s="1"/>
  <c r="N821" i="8"/>
  <c r="N822" i="8" s="1"/>
  <c r="I818" i="8"/>
  <c r="I821" i="8" s="1"/>
  <c r="I822" i="8" s="1"/>
  <c r="H818" i="8"/>
  <c r="H821" i="8" s="1"/>
  <c r="H822" i="8" s="1"/>
  <c r="Q816" i="8"/>
  <c r="P816" i="8"/>
  <c r="O816" i="8"/>
  <c r="K816" i="8"/>
  <c r="M510" i="8"/>
  <c r="L510" i="8"/>
  <c r="O506" i="8"/>
  <c r="O510" i="8" s="1"/>
  <c r="I506" i="8"/>
  <c r="I510" i="8" s="1"/>
  <c r="I512" i="8" s="1"/>
  <c r="E106" i="7" s="1"/>
  <c r="H506" i="8"/>
  <c r="AB504" i="8"/>
  <c r="Q504" i="8"/>
  <c r="P504" i="8"/>
  <c r="O504" i="8"/>
  <c r="K504" i="8"/>
  <c r="I808" i="8"/>
  <c r="I811" i="8" s="1"/>
  <c r="E15" i="7" s="1"/>
  <c r="K15" i="7" s="1"/>
  <c r="M803" i="8"/>
  <c r="I803" i="8"/>
  <c r="I806" i="8" s="1"/>
  <c r="H803" i="8"/>
  <c r="AB801" i="8"/>
  <c r="Q801" i="8"/>
  <c r="Q808" i="8" s="1"/>
  <c r="O801" i="8"/>
  <c r="K801" i="8"/>
  <c r="K808" i="8" s="1"/>
  <c r="K811" i="8" s="1"/>
  <c r="J801" i="8"/>
  <c r="J803" i="8" s="1"/>
  <c r="J806" i="8" s="1"/>
  <c r="H510" i="8" l="1"/>
  <c r="H508" i="8"/>
  <c r="H512" i="8" s="1"/>
  <c r="H855" i="8"/>
  <c r="H808" i="8"/>
  <c r="H811" i="8" s="1"/>
  <c r="D15" i="7" s="1"/>
  <c r="F15" i="7" s="1"/>
  <c r="H806" i="8"/>
  <c r="M806" i="8"/>
  <c r="M808" i="8"/>
  <c r="M811" i="8" s="1"/>
  <c r="L808" i="8"/>
  <c r="P803" i="8"/>
  <c r="P806" i="8" s="1"/>
  <c r="L855" i="8"/>
  <c r="S816" i="8"/>
  <c r="N855" i="8"/>
  <c r="J818" i="8"/>
  <c r="J821" i="8" s="1"/>
  <c r="J822" i="8" s="1"/>
  <c r="M873" i="8"/>
  <c r="N873" i="8" s="1"/>
  <c r="N848" i="8"/>
  <c r="S801" i="8"/>
  <c r="S504" i="8"/>
  <c r="Q506" i="8"/>
  <c r="I508" i="8"/>
  <c r="M508" i="8"/>
  <c r="M512" i="8" s="1"/>
  <c r="H106" i="7" s="1"/>
  <c r="K106" i="7" s="1"/>
  <c r="K506" i="8"/>
  <c r="K510" i="8" s="1"/>
  <c r="K512" i="8" s="1"/>
  <c r="P506" i="8"/>
  <c r="Q811" i="8"/>
  <c r="R801" i="8"/>
  <c r="R803" i="8" s="1"/>
  <c r="R806" i="8" s="1"/>
  <c r="K803" i="8"/>
  <c r="K806" i="8" s="1"/>
  <c r="O803" i="8"/>
  <c r="Q803" i="8"/>
  <c r="G15" i="7" l="1"/>
  <c r="J15" i="7" s="1"/>
  <c r="L15" i="7" s="1"/>
  <c r="L811" i="8"/>
  <c r="P855" i="8"/>
  <c r="Q806" i="8"/>
  <c r="S803" i="8"/>
  <c r="J808" i="8"/>
  <c r="J811" i="8" s="1"/>
  <c r="K508" i="8"/>
  <c r="O806" i="8"/>
  <c r="O808" i="8"/>
  <c r="O811" i="8" s="1"/>
  <c r="P808" i="8"/>
  <c r="P811" i="8" s="1"/>
  <c r="G106" i="7"/>
  <c r="Q512" i="8"/>
  <c r="P508" i="8"/>
  <c r="P512" i="8" s="1"/>
  <c r="O508" i="8"/>
  <c r="O512" i="8" s="1"/>
  <c r="Q508" i="8"/>
  <c r="Q510" i="8"/>
  <c r="P510" i="8"/>
  <c r="S506" i="8"/>
  <c r="S510" i="8" s="1"/>
  <c r="S808" i="8" l="1"/>
  <c r="S811" i="8" s="1"/>
  <c r="S806" i="8"/>
  <c r="R808" i="8"/>
  <c r="R811" i="8" s="1"/>
  <c r="S512" i="8"/>
  <c r="S508" i="8"/>
  <c r="M1292" i="8" l="1"/>
  <c r="M1293" i="8" s="1"/>
  <c r="L1292" i="8"/>
  <c r="L1295" i="8" s="1"/>
  <c r="L1296" i="8" s="1"/>
  <c r="I1292" i="8"/>
  <c r="I1293" i="8" s="1"/>
  <c r="H1292" i="8"/>
  <c r="H1295" i="8" s="1"/>
  <c r="H1296" i="8" s="1"/>
  <c r="AB1290" i="8"/>
  <c r="Q1290" i="8"/>
  <c r="Q1292" i="8" s="1"/>
  <c r="P1290" i="8"/>
  <c r="O1290" i="8"/>
  <c r="O1292" i="8" s="1"/>
  <c r="K1290" i="8"/>
  <c r="K1292" i="8" s="1"/>
  <c r="J1290" i="8"/>
  <c r="J1292" i="8" s="1"/>
  <c r="Q1053" i="8"/>
  <c r="P1053" i="8"/>
  <c r="N1737" i="8"/>
  <c r="N1742" i="8" s="1"/>
  <c r="N1747" i="8" s="1"/>
  <c r="K1736" i="8"/>
  <c r="K1741" i="8" s="1"/>
  <c r="K1746" i="8" s="1"/>
  <c r="I1736" i="8"/>
  <c r="I1741" i="8" s="1"/>
  <c r="I1746" i="8" s="1"/>
  <c r="H1736" i="8"/>
  <c r="H1741" i="8" s="1"/>
  <c r="H1746" i="8" s="1"/>
  <c r="N1735" i="8"/>
  <c r="N1740" i="8" s="1"/>
  <c r="N1745" i="8" s="1"/>
  <c r="M1735" i="8"/>
  <c r="M1740" i="8" s="1"/>
  <c r="M1745" i="8" s="1"/>
  <c r="L1735" i="8"/>
  <c r="L1740" i="8" s="1"/>
  <c r="L1745" i="8" s="1"/>
  <c r="O1725" i="8"/>
  <c r="L1732" i="8"/>
  <c r="L1736" i="8" s="1"/>
  <c r="L1741" i="8" s="1"/>
  <c r="L1746" i="8" s="1"/>
  <c r="I1735" i="8"/>
  <c r="I1740" i="8" s="1"/>
  <c r="I1745" i="8" s="1"/>
  <c r="H1733" i="8"/>
  <c r="H1737" i="8" s="1"/>
  <c r="H1742" i="8" s="1"/>
  <c r="H1747" i="8" s="1"/>
  <c r="M1702" i="8"/>
  <c r="L1702" i="8"/>
  <c r="K1678" i="8"/>
  <c r="K1698" i="8" s="1"/>
  <c r="K1717" i="8" s="1"/>
  <c r="I1678" i="8"/>
  <c r="I1698" i="8" s="1"/>
  <c r="I1717" i="8" s="1"/>
  <c r="H1678" i="8"/>
  <c r="H1698" i="8" s="1"/>
  <c r="K1669" i="8"/>
  <c r="I1669" i="8"/>
  <c r="H1669" i="8"/>
  <c r="N1663" i="8"/>
  <c r="M1663" i="8"/>
  <c r="L1663" i="8"/>
  <c r="N1598" i="8"/>
  <c r="N1595" i="8"/>
  <c r="N1594" i="8"/>
  <c r="N1593" i="8"/>
  <c r="N1586" i="8"/>
  <c r="N1585" i="8"/>
  <c r="M1708" i="8"/>
  <c r="L1678" i="8"/>
  <c r="L1698" i="8" s="1"/>
  <c r="L1717" i="8" s="1"/>
  <c r="J1630" i="8"/>
  <c r="J1629" i="8"/>
  <c r="J1628" i="8"/>
  <c r="J1627" i="8"/>
  <c r="J1626" i="8"/>
  <c r="J1625" i="8"/>
  <c r="J1624" i="8"/>
  <c r="J1623" i="8"/>
  <c r="J1622" i="8"/>
  <c r="J1621" i="8"/>
  <c r="I1645" i="8"/>
  <c r="I1663" i="8" s="1"/>
  <c r="H1663" i="8"/>
  <c r="H1683" i="8" s="1"/>
  <c r="Q1631" i="8"/>
  <c r="P1631" i="8"/>
  <c r="O1631" i="8"/>
  <c r="K1631" i="8"/>
  <c r="Q1630" i="8"/>
  <c r="P1630" i="8"/>
  <c r="O1630" i="8"/>
  <c r="K1630" i="8"/>
  <c r="P1683" i="8" l="1"/>
  <c r="K1053" i="8"/>
  <c r="W1053" i="8"/>
  <c r="L1669" i="8"/>
  <c r="L1689" i="8" s="1"/>
  <c r="N1689" i="8" s="1"/>
  <c r="N1708" i="8" s="1"/>
  <c r="L1661" i="8"/>
  <c r="L1679" i="8" s="1"/>
  <c r="H1717" i="8"/>
  <c r="P1698" i="8"/>
  <c r="J1053" i="8"/>
  <c r="AB1053" i="8"/>
  <c r="H1057" i="8"/>
  <c r="S1290" i="8"/>
  <c r="S1292" i="8" s="1"/>
  <c r="S1293" i="8" s="1"/>
  <c r="R1630" i="8"/>
  <c r="R1631" i="8"/>
  <c r="M1679" i="8"/>
  <c r="N1660" i="8"/>
  <c r="N1678" i="8" s="1"/>
  <c r="N1698" i="8" s="1"/>
  <c r="N1717" i="8" s="1"/>
  <c r="I1683" i="8"/>
  <c r="H1735" i="8"/>
  <c r="H1740" i="8" s="1"/>
  <c r="H1745" i="8" s="1"/>
  <c r="M1717" i="8"/>
  <c r="K1731" i="8"/>
  <c r="J1731" i="8"/>
  <c r="J1735" i="8" s="1"/>
  <c r="J1740" i="8" s="1"/>
  <c r="J1745" i="8" s="1"/>
  <c r="I1733" i="8"/>
  <c r="R1053" i="8"/>
  <c r="K1293" i="8"/>
  <c r="K1295" i="8"/>
  <c r="K1296" i="8" s="1"/>
  <c r="J1295" i="8"/>
  <c r="J1296" i="8" s="1"/>
  <c r="J1293" i="8"/>
  <c r="O1295" i="8"/>
  <c r="O1296" i="8" s="1"/>
  <c r="O1293" i="8"/>
  <c r="Q1295" i="8"/>
  <c r="Q1296" i="8" s="1"/>
  <c r="Q1293" i="8"/>
  <c r="R1290" i="8"/>
  <c r="R1292" i="8" s="1"/>
  <c r="P1292" i="8"/>
  <c r="H1293" i="8"/>
  <c r="L1293" i="8"/>
  <c r="I1295" i="8"/>
  <c r="I1296" i="8" s="1"/>
  <c r="M1295" i="8"/>
  <c r="M1296" i="8" s="1"/>
  <c r="S1053" i="8"/>
  <c r="L1733" i="8"/>
  <c r="L1737" i="8" s="1"/>
  <c r="L1742" i="8" s="1"/>
  <c r="L1747" i="8" s="1"/>
  <c r="J1645" i="8"/>
  <c r="J1663" i="8" s="1"/>
  <c r="H1661" i="8"/>
  <c r="H1679" i="8" s="1"/>
  <c r="S1630" i="8"/>
  <c r="S1631" i="8"/>
  <c r="L1708" i="8" l="1"/>
  <c r="S1295" i="8"/>
  <c r="S1296" i="8" s="1"/>
  <c r="H1702" i="8"/>
  <c r="P1057" i="8"/>
  <c r="S1057" i="8" s="1"/>
  <c r="K1057" i="8"/>
  <c r="J1057" i="8"/>
  <c r="Q1683" i="8"/>
  <c r="J1683" i="8"/>
  <c r="J1702" i="8" s="1"/>
  <c r="K1683" i="8"/>
  <c r="K1702" i="8" s="1"/>
  <c r="I1702" i="8"/>
  <c r="I1737" i="8"/>
  <c r="I1742" i="8" s="1"/>
  <c r="I1747" i="8" s="1"/>
  <c r="J1733" i="8"/>
  <c r="J1737" i="8" s="1"/>
  <c r="J1742" i="8" s="1"/>
  <c r="J1747" i="8" s="1"/>
  <c r="P1702" i="8"/>
  <c r="K1735" i="8"/>
  <c r="K1740" i="8" s="1"/>
  <c r="K1745" i="8" s="1"/>
  <c r="K1733" i="8"/>
  <c r="K1737" i="8" s="1"/>
  <c r="K1742" i="8" s="1"/>
  <c r="K1747" i="8" s="1"/>
  <c r="R1293" i="8"/>
  <c r="R1295" i="8"/>
  <c r="R1296" i="8" s="1"/>
  <c r="P1293" i="8"/>
  <c r="P1295" i="8"/>
  <c r="P1296" i="8" s="1"/>
  <c r="P1733" i="8"/>
  <c r="P1737" i="8" s="1"/>
  <c r="P1742" i="8" s="1"/>
  <c r="P1747" i="8" s="1"/>
  <c r="Q1702" i="8" l="1"/>
  <c r="S1683" i="8"/>
  <c r="S1702" i="8" s="1"/>
  <c r="M1419" i="8" l="1"/>
  <c r="L1419" i="8"/>
  <c r="L1428" i="8"/>
  <c r="L1556" i="8" s="1"/>
  <c r="L1575" i="8" s="1"/>
  <c r="K1521" i="8"/>
  <c r="J1521" i="8"/>
  <c r="I1521" i="8"/>
  <c r="H1521" i="8"/>
  <c r="O1515" i="8"/>
  <c r="N1515" i="8"/>
  <c r="M1515" i="8"/>
  <c r="L1515" i="8"/>
  <c r="I1515" i="8"/>
  <c r="M1503" i="8"/>
  <c r="L1503" i="8"/>
  <c r="H1497" i="8"/>
  <c r="H1515" i="8" s="1"/>
  <c r="Q1482" i="8"/>
  <c r="P1482" i="8"/>
  <c r="O1482" i="8"/>
  <c r="K1482" i="8"/>
  <c r="L1547" i="8" l="1"/>
  <c r="L1566" i="8" s="1"/>
  <c r="L1788" i="8" s="1"/>
  <c r="M1521" i="8"/>
  <c r="M1550" i="8" s="1"/>
  <c r="L1521" i="8"/>
  <c r="L1550" i="8" s="1"/>
  <c r="L1569" i="8" s="1"/>
  <c r="P1497" i="8"/>
  <c r="P1515" i="8" s="1"/>
  <c r="R1482" i="8"/>
  <c r="S1482" i="8"/>
  <c r="L1310" i="8"/>
  <c r="P1310" i="8" s="1"/>
  <c r="M1310" i="8"/>
  <c r="M1275" i="8"/>
  <c r="L1275" i="8"/>
  <c r="N1270" i="8"/>
  <c r="N1271" i="8" s="1"/>
  <c r="C479" i="7"/>
  <c r="M1257" i="8"/>
  <c r="M1258" i="8" s="1"/>
  <c r="G123" i="6" s="1"/>
  <c r="L1257" i="8"/>
  <c r="L1260" i="8" s="1"/>
  <c r="L1261" i="8" s="1"/>
  <c r="G417" i="7" s="1"/>
  <c r="I1257" i="8"/>
  <c r="I1258" i="8" s="1"/>
  <c r="D123" i="6" s="1"/>
  <c r="H1257" i="8"/>
  <c r="H1260" i="8" s="1"/>
  <c r="H1261" i="8" s="1"/>
  <c r="D417" i="7" s="1"/>
  <c r="AB1255" i="8"/>
  <c r="Q1255" i="8"/>
  <c r="Q1257" i="8" s="1"/>
  <c r="P1255" i="8"/>
  <c r="O1255" i="8"/>
  <c r="O1257" i="8" s="1"/>
  <c r="K1255" i="8"/>
  <c r="K1257" i="8" s="1"/>
  <c r="J1255" i="8"/>
  <c r="J1257" i="8" s="1"/>
  <c r="M864" i="8"/>
  <c r="M880" i="8" s="1"/>
  <c r="L864" i="8"/>
  <c r="L880" i="8" s="1"/>
  <c r="N862" i="8"/>
  <c r="M862" i="8"/>
  <c r="L862" i="8"/>
  <c r="O861" i="8"/>
  <c r="O862" i="8" s="1"/>
  <c r="I861" i="8"/>
  <c r="Q861" i="8" s="1"/>
  <c r="Q862" i="8" s="1"/>
  <c r="P861" i="8"/>
  <c r="P862" i="8" s="1"/>
  <c r="Q859" i="8"/>
  <c r="P859" i="8"/>
  <c r="O859" i="8"/>
  <c r="K859" i="8"/>
  <c r="J859" i="8"/>
  <c r="Q858" i="8"/>
  <c r="P858" i="8"/>
  <c r="O858" i="8"/>
  <c r="K858" i="8"/>
  <c r="J858" i="8"/>
  <c r="Q857" i="8"/>
  <c r="P857" i="8"/>
  <c r="O857" i="8"/>
  <c r="K857" i="8"/>
  <c r="J857" i="8"/>
  <c r="M430" i="8"/>
  <c r="M431" i="8" s="1"/>
  <c r="L430" i="8"/>
  <c r="I430" i="8"/>
  <c r="I431" i="8" s="1"/>
  <c r="H431" i="8"/>
  <c r="H433" i="8" s="1"/>
  <c r="H434" i="8" s="1"/>
  <c r="AB427" i="8"/>
  <c r="Q427" i="8"/>
  <c r="P427" i="8"/>
  <c r="O427" i="8"/>
  <c r="K427" i="8"/>
  <c r="K430" i="8" s="1"/>
  <c r="K431" i="8" s="1"/>
  <c r="K433" i="8" s="1"/>
  <c r="K434" i="8" s="1"/>
  <c r="J427" i="8"/>
  <c r="E104" i="7"/>
  <c r="E103" i="7"/>
  <c r="K103" i="7" s="1"/>
  <c r="E102" i="7"/>
  <c r="K102" i="7" s="1"/>
  <c r="M497" i="8"/>
  <c r="L497" i="8"/>
  <c r="K498" i="8"/>
  <c r="I498" i="8"/>
  <c r="H498" i="8"/>
  <c r="M493" i="8"/>
  <c r="M498" i="8" s="1"/>
  <c r="M516" i="8" s="1"/>
  <c r="M518" i="8" s="1"/>
  <c r="P493" i="8"/>
  <c r="O492" i="8"/>
  <c r="O497" i="8" s="1"/>
  <c r="I492" i="8"/>
  <c r="I497" i="8" s="1"/>
  <c r="H497" i="8"/>
  <c r="H515" i="8" s="1"/>
  <c r="AB490" i="8"/>
  <c r="Q490" i="8"/>
  <c r="P490" i="8"/>
  <c r="O490" i="8"/>
  <c r="K490" i="8"/>
  <c r="O515" i="8"/>
  <c r="O486" i="8"/>
  <c r="I486" i="8"/>
  <c r="E101" i="7" s="1"/>
  <c r="K101" i="7" s="1"/>
  <c r="O483" i="8"/>
  <c r="I483" i="8"/>
  <c r="D48" i="6" s="1"/>
  <c r="Q480" i="8"/>
  <c r="Q482" i="8" s="1"/>
  <c r="Q485" i="8" s="1"/>
  <c r="P480" i="8"/>
  <c r="P482" i="8" s="1"/>
  <c r="P485" i="8" s="1"/>
  <c r="O480" i="8"/>
  <c r="O482" i="8" s="1"/>
  <c r="O485" i="8" s="1"/>
  <c r="K480" i="8"/>
  <c r="K482" i="8" s="1"/>
  <c r="K485" i="8" s="1"/>
  <c r="J480" i="8"/>
  <c r="O1246" i="8"/>
  <c r="O1245" i="8"/>
  <c r="I1245" i="8"/>
  <c r="I1246" i="8" s="1"/>
  <c r="E385" i="7" s="1"/>
  <c r="H1245" i="8"/>
  <c r="H1246" i="8" s="1"/>
  <c r="O1243" i="8"/>
  <c r="O1242" i="8"/>
  <c r="I1242" i="8"/>
  <c r="I1243" i="8" s="1"/>
  <c r="H1242" i="8"/>
  <c r="H1243" i="8" s="1"/>
  <c r="P1243" i="8" s="1"/>
  <c r="AB1240" i="8"/>
  <c r="Q1240" i="8"/>
  <c r="P1240" i="8"/>
  <c r="O1240" i="8"/>
  <c r="K1240" i="8"/>
  <c r="K1245" i="8" s="1"/>
  <c r="K1246" i="8" s="1"/>
  <c r="H384" i="7"/>
  <c r="G384" i="7"/>
  <c r="N864" i="8"/>
  <c r="O855" i="8"/>
  <c r="O839" i="8"/>
  <c r="I839" i="8"/>
  <c r="Q839" i="8" s="1"/>
  <c r="Q834" i="8"/>
  <c r="P834" i="8"/>
  <c r="O834" i="8"/>
  <c r="K834" i="8"/>
  <c r="J834" i="8"/>
  <c r="Q837" i="8"/>
  <c r="Q848" i="8" s="1"/>
  <c r="Q873" i="8" s="1"/>
  <c r="P837" i="8"/>
  <c r="P848" i="8" s="1"/>
  <c r="P873" i="8" s="1"/>
  <c r="O837" i="8"/>
  <c r="O848" i="8" s="1"/>
  <c r="O873" i="8" s="1"/>
  <c r="K837" i="8"/>
  <c r="Q836" i="8"/>
  <c r="P836" i="8"/>
  <c r="O836" i="8"/>
  <c r="K836" i="8"/>
  <c r="J836" i="8"/>
  <c r="D473" i="7"/>
  <c r="N1114" i="8"/>
  <c r="M1110" i="8"/>
  <c r="L1110" i="8"/>
  <c r="L1111" i="8" s="1"/>
  <c r="I1110" i="8"/>
  <c r="I1111" i="8" s="1"/>
  <c r="E314" i="7" s="1"/>
  <c r="K314" i="7" s="1"/>
  <c r="H1110" i="8"/>
  <c r="H1111" i="8" s="1"/>
  <c r="M1107" i="8"/>
  <c r="M1108" i="8" s="1"/>
  <c r="L1107" i="8"/>
  <c r="L1108" i="8" s="1"/>
  <c r="I1107" i="8"/>
  <c r="I1108" i="8" s="1"/>
  <c r="H1107" i="8"/>
  <c r="H1108" i="8" s="1"/>
  <c r="AB1105" i="8"/>
  <c r="Q1105" i="8"/>
  <c r="P1105" i="8"/>
  <c r="O1105" i="8"/>
  <c r="O1110" i="8" s="1"/>
  <c r="K1105" i="8"/>
  <c r="Q888" i="8"/>
  <c r="N901" i="8"/>
  <c r="N905" i="8" s="1"/>
  <c r="M901" i="8"/>
  <c r="M905" i="8" s="1"/>
  <c r="L901" i="8"/>
  <c r="L905" i="8" s="1"/>
  <c r="I901" i="8"/>
  <c r="H905" i="8"/>
  <c r="AB898" i="8"/>
  <c r="Q898" i="8"/>
  <c r="Q901" i="8" s="1"/>
  <c r="P898" i="8"/>
  <c r="O898" i="8"/>
  <c r="O901" i="8" s="1"/>
  <c r="K898" i="8"/>
  <c r="H352" i="7"/>
  <c r="E352" i="7"/>
  <c r="E348" i="7"/>
  <c r="M1179" i="8"/>
  <c r="Q1179" i="8" s="1"/>
  <c r="Q1183" i="8" s="1"/>
  <c r="I1184" i="8"/>
  <c r="E351" i="7" s="1"/>
  <c r="H1184" i="8"/>
  <c r="L1183" i="8"/>
  <c r="M1182" i="8"/>
  <c r="L1182" i="8"/>
  <c r="I1182" i="8"/>
  <c r="H1182" i="8"/>
  <c r="O1178" i="8"/>
  <c r="I1178" i="8"/>
  <c r="H1178" i="8"/>
  <c r="P1178" i="8" s="1"/>
  <c r="AB1176" i="8"/>
  <c r="Q1176" i="8"/>
  <c r="P1176" i="8"/>
  <c r="O1176" i="8"/>
  <c r="K1176" i="8"/>
  <c r="J1176" i="8"/>
  <c r="I1136" i="8"/>
  <c r="I1138" i="8" s="1"/>
  <c r="E346" i="7" s="1"/>
  <c r="M1132" i="8"/>
  <c r="I1132" i="8"/>
  <c r="I1134" i="8" s="1"/>
  <c r="H1132" i="8"/>
  <c r="AB1130" i="8"/>
  <c r="Q1130" i="8"/>
  <c r="Q1136" i="8" s="1"/>
  <c r="Q1138" i="8" s="1"/>
  <c r="P1130" i="8"/>
  <c r="O1130" i="8"/>
  <c r="K1130" i="8"/>
  <c r="K1136" i="8" s="1"/>
  <c r="K1138" i="8" s="1"/>
  <c r="I1150" i="8"/>
  <c r="H1150" i="8"/>
  <c r="M1149" i="8"/>
  <c r="M1214" i="8" s="1"/>
  <c r="L1149" i="8"/>
  <c r="M1148" i="8"/>
  <c r="L1148" i="8"/>
  <c r="I1148" i="8"/>
  <c r="H1148" i="8"/>
  <c r="M1146" i="8"/>
  <c r="L1146" i="8"/>
  <c r="Q1145" i="8"/>
  <c r="Q1149" i="8" s="1"/>
  <c r="P1145" i="8"/>
  <c r="N1145" i="8"/>
  <c r="N1149" i="8" s="1"/>
  <c r="O1144" i="8"/>
  <c r="N1144" i="8"/>
  <c r="I1144" i="8"/>
  <c r="I1146" i="8" s="1"/>
  <c r="H1144" i="8"/>
  <c r="P1144" i="8" s="1"/>
  <c r="AB1142" i="8"/>
  <c r="Q1142" i="8"/>
  <c r="P1142" i="8"/>
  <c r="O1142" i="8"/>
  <c r="K1142" i="8"/>
  <c r="M1207" i="8"/>
  <c r="L1207" i="8"/>
  <c r="K1207" i="8"/>
  <c r="I1207" i="8"/>
  <c r="H1207" i="8"/>
  <c r="M1206" i="8"/>
  <c r="K1206" i="8"/>
  <c r="J1206" i="8"/>
  <c r="I1206" i="8"/>
  <c r="H1206" i="8"/>
  <c r="M1205" i="8"/>
  <c r="L1205" i="8"/>
  <c r="M1203" i="8"/>
  <c r="Q1202" i="8"/>
  <c r="P1202" i="8"/>
  <c r="P1207" i="8" s="1"/>
  <c r="O1202" i="8"/>
  <c r="O1207" i="8" s="1"/>
  <c r="N1202" i="8"/>
  <c r="Q1201" i="8"/>
  <c r="Q1206" i="8" s="1"/>
  <c r="L1203" i="8"/>
  <c r="O1200" i="8"/>
  <c r="O1205" i="8" s="1"/>
  <c r="I1200" i="8"/>
  <c r="Q1200" i="8" s="1"/>
  <c r="H1200" i="8"/>
  <c r="H1205" i="8" s="1"/>
  <c r="AB1198" i="8"/>
  <c r="Q1198" i="8"/>
  <c r="P1198" i="8"/>
  <c r="O1198" i="8"/>
  <c r="N1198" i="8"/>
  <c r="K1198" i="8"/>
  <c r="J1198" i="8"/>
  <c r="I905" i="8" l="1"/>
  <c r="K901" i="8"/>
  <c r="K905" i="8" s="1"/>
  <c r="K900" i="8"/>
  <c r="M1183" i="8"/>
  <c r="M1212" i="8" s="1"/>
  <c r="Q1212" i="8" s="1"/>
  <c r="L1184" i="8"/>
  <c r="N1310" i="8"/>
  <c r="M1180" i="8"/>
  <c r="M1184" i="8"/>
  <c r="H351" i="7" s="1"/>
  <c r="N1274" i="8"/>
  <c r="N1275" i="8" s="1"/>
  <c r="N880" i="8"/>
  <c r="G351" i="7"/>
  <c r="P1149" i="8"/>
  <c r="S1145" i="8"/>
  <c r="I1180" i="8"/>
  <c r="J1178" i="8"/>
  <c r="N1148" i="8"/>
  <c r="P1179" i="8"/>
  <c r="P1183" i="8" s="1"/>
  <c r="R1183" i="8" s="1"/>
  <c r="O1179" i="8"/>
  <c r="L1150" i="8"/>
  <c r="H1134" i="8"/>
  <c r="P1134" i="8" s="1"/>
  <c r="H1136" i="8"/>
  <c r="H1138" i="8" s="1"/>
  <c r="P1138" i="8" s="1"/>
  <c r="P1132" i="8"/>
  <c r="P1136" i="8" s="1"/>
  <c r="M1134" i="8"/>
  <c r="M1136" i="8"/>
  <c r="M1138" i="8" s="1"/>
  <c r="M1150" i="8"/>
  <c r="Q1150" i="8" s="1"/>
  <c r="I515" i="8"/>
  <c r="I518" i="8" s="1"/>
  <c r="Q864" i="8"/>
  <c r="Q880" i="8" s="1"/>
  <c r="Q1243" i="8"/>
  <c r="S1243" i="8" s="1"/>
  <c r="D100" i="6"/>
  <c r="J100" i="6" s="1"/>
  <c r="H518" i="8"/>
  <c r="Q1310" i="8"/>
  <c r="R1310" i="8" s="1"/>
  <c r="O1310" i="8"/>
  <c r="M1301" i="8"/>
  <c r="R1240" i="8"/>
  <c r="J123" i="6"/>
  <c r="S480" i="8"/>
  <c r="S482" i="8" s="1"/>
  <c r="S485" i="8" s="1"/>
  <c r="O430" i="8"/>
  <c r="S858" i="8"/>
  <c r="S1255" i="8"/>
  <c r="S1257" i="8" s="1"/>
  <c r="S1260" i="8" s="1"/>
  <c r="S1261" i="8" s="1"/>
  <c r="K1258" i="8"/>
  <c r="K1260" i="8"/>
  <c r="K1261" i="8" s="1"/>
  <c r="J1260" i="8"/>
  <c r="J1261" i="8" s="1"/>
  <c r="J1258" i="8"/>
  <c r="O1260" i="8"/>
  <c r="O1261" i="8" s="1"/>
  <c r="O1258" i="8"/>
  <c r="Q1260" i="8"/>
  <c r="Q1261" i="8" s="1"/>
  <c r="Q1258" i="8"/>
  <c r="R1255" i="8"/>
  <c r="R1257" i="8" s="1"/>
  <c r="P1257" i="8"/>
  <c r="H1258" i="8"/>
  <c r="L1258" i="8"/>
  <c r="I1260" i="8"/>
  <c r="M1260" i="8"/>
  <c r="M1261" i="8" s="1"/>
  <c r="H417" i="7" s="1"/>
  <c r="S857" i="8"/>
  <c r="S859" i="8"/>
  <c r="I862" i="8"/>
  <c r="H862" i="8"/>
  <c r="O864" i="8"/>
  <c r="O880" i="8" s="1"/>
  <c r="I864" i="8"/>
  <c r="K861" i="8"/>
  <c r="K862" i="8" s="1"/>
  <c r="R859" i="8"/>
  <c r="R857" i="8"/>
  <c r="R861" i="8"/>
  <c r="R862" i="8" s="1"/>
  <c r="S861" i="8"/>
  <c r="S862" i="8" s="1"/>
  <c r="J861" i="8"/>
  <c r="J862" i="8" s="1"/>
  <c r="R858" i="8"/>
  <c r="S427" i="8"/>
  <c r="I433" i="8"/>
  <c r="I434" i="8" s="1"/>
  <c r="J434" i="8" s="1"/>
  <c r="J431" i="8"/>
  <c r="J433" i="8" s="1"/>
  <c r="M433" i="8"/>
  <c r="M434" i="8" s="1"/>
  <c r="Q431" i="8"/>
  <c r="R427" i="8"/>
  <c r="P430" i="8"/>
  <c r="L431" i="8"/>
  <c r="J430" i="8"/>
  <c r="Q430" i="8"/>
  <c r="P498" i="8"/>
  <c r="I500" i="8"/>
  <c r="E105" i="7" s="1"/>
  <c r="Q516" i="8"/>
  <c r="M500" i="8"/>
  <c r="H105" i="7" s="1"/>
  <c r="O493" i="8"/>
  <c r="O498" i="8" s="1"/>
  <c r="O500" i="8" s="1"/>
  <c r="Q493" i="8"/>
  <c r="I495" i="8"/>
  <c r="D47" i="6" s="1"/>
  <c r="L498" i="8"/>
  <c r="L516" i="8" s="1"/>
  <c r="M495" i="8"/>
  <c r="G47" i="6" s="1"/>
  <c r="S490" i="8"/>
  <c r="K492" i="8"/>
  <c r="K497" i="8" s="1"/>
  <c r="K500" i="8" s="1"/>
  <c r="P492" i="8"/>
  <c r="P497" i="8" s="1"/>
  <c r="Q492" i="8"/>
  <c r="R834" i="8"/>
  <c r="S1240" i="8"/>
  <c r="Q483" i="8"/>
  <c r="J483" i="8"/>
  <c r="Q486" i="8"/>
  <c r="K483" i="8"/>
  <c r="R480" i="8"/>
  <c r="H486" i="8"/>
  <c r="J482" i="8"/>
  <c r="J485" i="8" s="1"/>
  <c r="R1243" i="8"/>
  <c r="Q1246" i="8"/>
  <c r="P1246" i="8"/>
  <c r="K1242" i="8"/>
  <c r="K1243" i="8" s="1"/>
  <c r="P1242" i="8"/>
  <c r="P1245" i="8"/>
  <c r="Q1242" i="8"/>
  <c r="Q1245" i="8"/>
  <c r="R1176" i="8"/>
  <c r="S898" i="8"/>
  <c r="S901" i="8" s="1"/>
  <c r="S902" i="8" s="1"/>
  <c r="S906" i="8" s="1"/>
  <c r="P839" i="8"/>
  <c r="P864" i="8" s="1"/>
  <c r="P880" i="8" s="1"/>
  <c r="R837" i="8"/>
  <c r="R848" i="8" s="1"/>
  <c r="R873" i="8" s="1"/>
  <c r="S834" i="8"/>
  <c r="S837" i="8"/>
  <c r="S848" i="8" s="1"/>
  <c r="S873" i="8" s="1"/>
  <c r="S836" i="8"/>
  <c r="R836" i="8"/>
  <c r="M1208" i="8"/>
  <c r="H354" i="7" s="1"/>
  <c r="N1207" i="8"/>
  <c r="S1142" i="8"/>
  <c r="O1146" i="8"/>
  <c r="K1148" i="8"/>
  <c r="K1150" i="8"/>
  <c r="K1182" i="8"/>
  <c r="K1184" i="8"/>
  <c r="S1105" i="8"/>
  <c r="O905" i="8"/>
  <c r="O902" i="8"/>
  <c r="O906" i="8" s="1"/>
  <c r="M902" i="8"/>
  <c r="M906" i="8" s="1"/>
  <c r="H199" i="7" s="1"/>
  <c r="L1180" i="8"/>
  <c r="O1149" i="8"/>
  <c r="S1130" i="8"/>
  <c r="S1136" i="8" s="1"/>
  <c r="S1138" i="8" s="1"/>
  <c r="D351" i="7"/>
  <c r="E347" i="7"/>
  <c r="L902" i="8"/>
  <c r="L906" i="8" s="1"/>
  <c r="N902" i="8"/>
  <c r="N906" i="8" s="1"/>
  <c r="R1105" i="8"/>
  <c r="Q1110" i="8"/>
  <c r="K1108" i="8"/>
  <c r="K1111" i="8"/>
  <c r="Q1111" i="8"/>
  <c r="Q1108" i="8"/>
  <c r="P1108" i="8"/>
  <c r="P1111" i="8"/>
  <c r="K1107" i="8"/>
  <c r="P1107" i="8"/>
  <c r="K1110" i="8"/>
  <c r="P1110" i="8"/>
  <c r="O1107" i="8"/>
  <c r="O1108" i="8" s="1"/>
  <c r="Q1107" i="8"/>
  <c r="K902" i="8"/>
  <c r="K906" i="8" s="1"/>
  <c r="Q905" i="8"/>
  <c r="Q902" i="8"/>
  <c r="Q906" i="8" s="1"/>
  <c r="I902" i="8"/>
  <c r="I906" i="8" s="1"/>
  <c r="R898" i="8"/>
  <c r="R901" i="8" s="1"/>
  <c r="J1182" i="8"/>
  <c r="J1184" i="8"/>
  <c r="Q1184" i="8"/>
  <c r="S1176" i="8"/>
  <c r="K1178" i="8"/>
  <c r="Q1178" i="8"/>
  <c r="R1178" i="8" s="1"/>
  <c r="H1180" i="8"/>
  <c r="K1180" i="8" s="1"/>
  <c r="O1182" i="8"/>
  <c r="Q1182" i="8"/>
  <c r="P1182" i="8"/>
  <c r="R1149" i="8"/>
  <c r="K1132" i="8"/>
  <c r="K1134" i="8" s="1"/>
  <c r="O1132" i="8"/>
  <c r="Q1132" i="8"/>
  <c r="Q1134" i="8" s="1"/>
  <c r="P1214" i="8"/>
  <c r="R1142" i="8"/>
  <c r="Q1214" i="8"/>
  <c r="Q1146" i="8"/>
  <c r="S1149" i="8"/>
  <c r="K1144" i="8"/>
  <c r="Q1144" i="8"/>
  <c r="R1144" i="8" s="1"/>
  <c r="R1145" i="8"/>
  <c r="H1146" i="8"/>
  <c r="K1146" i="8" s="1"/>
  <c r="N1146" i="8"/>
  <c r="O1148" i="8"/>
  <c r="Q1148" i="8"/>
  <c r="P1148" i="8"/>
  <c r="R1198" i="8"/>
  <c r="H1208" i="8"/>
  <c r="D354" i="7" s="1"/>
  <c r="R1202" i="8"/>
  <c r="R1207" i="8" s="1"/>
  <c r="S1198" i="8"/>
  <c r="Q1205" i="8"/>
  <c r="Q1203" i="8"/>
  <c r="N1203" i="8"/>
  <c r="K1200" i="8"/>
  <c r="P1200" i="8"/>
  <c r="O1201" i="8"/>
  <c r="O1206" i="8" s="1"/>
  <c r="S1202" i="8"/>
  <c r="S1207" i="8" s="1"/>
  <c r="I1203" i="8"/>
  <c r="I1205" i="8"/>
  <c r="I1208" i="8" s="1"/>
  <c r="L1206" i="8"/>
  <c r="L1212" i="8" s="1"/>
  <c r="Q1207" i="8"/>
  <c r="J1200" i="8"/>
  <c r="J1205" i="8" s="1"/>
  <c r="N1201" i="8"/>
  <c r="N1206" i="8" s="1"/>
  <c r="P1201" i="8"/>
  <c r="H1203" i="8"/>
  <c r="R1006" i="8"/>
  <c r="O888" i="8"/>
  <c r="E16" i="7"/>
  <c r="M818" i="8"/>
  <c r="L818" i="8"/>
  <c r="I819" i="8"/>
  <c r="D32" i="6" s="1"/>
  <c r="H819" i="8"/>
  <c r="AB815" i="8"/>
  <c r="Q815" i="8"/>
  <c r="Q818" i="8" s="1"/>
  <c r="P815" i="8"/>
  <c r="P818" i="8" s="1"/>
  <c r="P821" i="8" s="1"/>
  <c r="P822" i="8" s="1"/>
  <c r="O815" i="8"/>
  <c r="K815" i="8"/>
  <c r="K818" i="8" s="1"/>
  <c r="K821" i="8" s="1"/>
  <c r="K822" i="8" s="1"/>
  <c r="J815" i="8"/>
  <c r="J819" i="8" s="1"/>
  <c r="L450" i="8"/>
  <c r="F66" i="5" s="1"/>
  <c r="M461" i="8"/>
  <c r="L461" i="8"/>
  <c r="K461" i="8"/>
  <c r="I461" i="8"/>
  <c r="H461" i="8"/>
  <c r="Q455" i="8"/>
  <c r="P455" i="8"/>
  <c r="O455" i="8"/>
  <c r="O461" i="8" s="1"/>
  <c r="N455" i="8"/>
  <c r="N461" i="8" s="1"/>
  <c r="L456" i="8"/>
  <c r="Q417" i="8"/>
  <c r="P417" i="8"/>
  <c r="O417" i="8"/>
  <c r="K417" i="8"/>
  <c r="J417" i="8"/>
  <c r="H419" i="8"/>
  <c r="I398" i="8"/>
  <c r="H398" i="8"/>
  <c r="Q396" i="8"/>
  <c r="P396" i="8"/>
  <c r="O396" i="8"/>
  <c r="K396" i="8"/>
  <c r="K298" i="8"/>
  <c r="Q1180" i="8" l="1"/>
  <c r="S1179" i="8"/>
  <c r="R1179" i="8"/>
  <c r="I904" i="8"/>
  <c r="K904" i="8"/>
  <c r="O1150" i="8"/>
  <c r="O1183" i="8"/>
  <c r="P1146" i="8"/>
  <c r="R1146" i="8" s="1"/>
  <c r="O1184" i="8"/>
  <c r="P1301" i="8"/>
  <c r="L518" i="8"/>
  <c r="I351" i="7"/>
  <c r="S1110" i="8"/>
  <c r="S839" i="8"/>
  <c r="N1150" i="8"/>
  <c r="O1180" i="8"/>
  <c r="J351" i="7"/>
  <c r="S1183" i="8"/>
  <c r="K495" i="8"/>
  <c r="O1134" i="8"/>
  <c r="O1136" i="8"/>
  <c r="O1138" i="8" s="1"/>
  <c r="I880" i="8"/>
  <c r="H880" i="8"/>
  <c r="S880" i="8"/>
  <c r="R818" i="8"/>
  <c r="R821" i="8" s="1"/>
  <c r="R822" i="8" s="1"/>
  <c r="Q821" i="8"/>
  <c r="Q822" i="8" s="1"/>
  <c r="L819" i="8"/>
  <c r="L821" i="8"/>
  <c r="L822" i="8" s="1"/>
  <c r="K515" i="8"/>
  <c r="K518" i="8" s="1"/>
  <c r="P515" i="8"/>
  <c r="M819" i="8"/>
  <c r="M821" i="8"/>
  <c r="M822" i="8" s="1"/>
  <c r="R880" i="8"/>
  <c r="S905" i="8"/>
  <c r="S1310" i="8"/>
  <c r="S864" i="8"/>
  <c r="I1261" i="8"/>
  <c r="E417" i="7" s="1"/>
  <c r="S1258" i="8"/>
  <c r="R1258" i="8"/>
  <c r="R1260" i="8"/>
  <c r="R1261" i="8" s="1"/>
  <c r="P1258" i="8"/>
  <c r="P1260" i="8"/>
  <c r="P1261" i="8" s="1"/>
  <c r="J47" i="6"/>
  <c r="R430" i="8"/>
  <c r="L433" i="8"/>
  <c r="L434" i="8" s="1"/>
  <c r="O431" i="8"/>
  <c r="O433" i="8" s="1"/>
  <c r="O434" i="8" s="1"/>
  <c r="P431" i="8"/>
  <c r="S430" i="8"/>
  <c r="Q433" i="8"/>
  <c r="Q434" i="8" s="1"/>
  <c r="R1245" i="8"/>
  <c r="S1246" i="8"/>
  <c r="K105" i="7"/>
  <c r="R482" i="8"/>
  <c r="R485" i="8" s="1"/>
  <c r="Q495" i="8"/>
  <c r="O495" i="8"/>
  <c r="P495" i="8"/>
  <c r="Q498" i="8"/>
  <c r="Q500" i="8"/>
  <c r="S493" i="8"/>
  <c r="S498" i="8" s="1"/>
  <c r="Q497" i="8"/>
  <c r="O516" i="8"/>
  <c r="O518" i="8" s="1"/>
  <c r="P516" i="8"/>
  <c r="J518" i="8"/>
  <c r="P500" i="8"/>
  <c r="S492" i="8"/>
  <c r="S497" i="8" s="1"/>
  <c r="R483" i="8"/>
  <c r="S1242" i="8"/>
  <c r="P1180" i="8"/>
  <c r="S483" i="8"/>
  <c r="P486" i="8"/>
  <c r="S486" i="8" s="1"/>
  <c r="K486" i="8"/>
  <c r="J486" i="8"/>
  <c r="Q515" i="8"/>
  <c r="Q518" i="8" s="1"/>
  <c r="J515" i="8"/>
  <c r="R1242" i="8"/>
  <c r="S1245" i="8"/>
  <c r="R1246" i="8"/>
  <c r="R839" i="8"/>
  <c r="R864" i="8" s="1"/>
  <c r="S1132" i="8"/>
  <c r="S1134" i="8" s="1"/>
  <c r="S1146" i="8"/>
  <c r="R1214" i="8"/>
  <c r="S1111" i="8"/>
  <c r="O1301" i="8"/>
  <c r="Q1301" i="8"/>
  <c r="N1301" i="8"/>
  <c r="F351" i="7"/>
  <c r="P905" i="8"/>
  <c r="S1107" i="8"/>
  <c r="J1208" i="8"/>
  <c r="E354" i="7"/>
  <c r="S1108" i="8"/>
  <c r="R1110" i="8"/>
  <c r="R1111" i="8"/>
  <c r="R1107" i="8"/>
  <c r="R1108" i="8"/>
  <c r="R905" i="8"/>
  <c r="R902" i="8"/>
  <c r="R906" i="8" s="1"/>
  <c r="J1180" i="8"/>
  <c r="S1178" i="8"/>
  <c r="P1184" i="8"/>
  <c r="S1184" i="8" s="1"/>
  <c r="S1182" i="8"/>
  <c r="R1182" i="8"/>
  <c r="L1208" i="8"/>
  <c r="G354" i="7" s="1"/>
  <c r="O1203" i="8"/>
  <c r="S1144" i="8"/>
  <c r="S1214" i="8"/>
  <c r="O1214" i="8"/>
  <c r="P1150" i="8"/>
  <c r="S1150" i="8" s="1"/>
  <c r="S1148" i="8"/>
  <c r="R1148" i="8"/>
  <c r="R1150" i="8"/>
  <c r="S815" i="8"/>
  <c r="P1206" i="8"/>
  <c r="S1201" i="8"/>
  <c r="S1206" i="8" s="1"/>
  <c r="P1203" i="8"/>
  <c r="S1203" i="8" s="1"/>
  <c r="S1200" i="8"/>
  <c r="S1205" i="8" s="1"/>
  <c r="P1205" i="8"/>
  <c r="Q1208" i="8"/>
  <c r="R1200" i="8"/>
  <c r="R1205" i="8" s="1"/>
  <c r="K1205" i="8"/>
  <c r="K1208" i="8" s="1"/>
  <c r="K1203" i="8"/>
  <c r="R1201" i="8"/>
  <c r="R1206" i="8" s="1"/>
  <c r="J1203" i="8"/>
  <c r="R815" i="8"/>
  <c r="K819" i="8"/>
  <c r="P819" i="8"/>
  <c r="O818" i="8"/>
  <c r="Q819" i="8"/>
  <c r="R396" i="8"/>
  <c r="J398" i="8"/>
  <c r="R417" i="8"/>
  <c r="R455" i="8"/>
  <c r="R461" i="8" s="1"/>
  <c r="S417" i="8"/>
  <c r="S455" i="8"/>
  <c r="S461" i="8" s="1"/>
  <c r="Q461" i="8"/>
  <c r="P461" i="8"/>
  <c r="S396" i="8"/>
  <c r="F97" i="3"/>
  <c r="S1180" i="8" l="1"/>
  <c r="Q904" i="8"/>
  <c r="J904" i="8"/>
  <c r="S516" i="8"/>
  <c r="P518" i="8"/>
  <c r="R518" i="8" s="1"/>
  <c r="P1212" i="8"/>
  <c r="S1212" i="8" s="1"/>
  <c r="R819" i="8"/>
  <c r="S500" i="8"/>
  <c r="S515" i="8"/>
  <c r="S818" i="8"/>
  <c r="S821" i="8" s="1"/>
  <c r="S822" i="8" s="1"/>
  <c r="O819" i="8"/>
  <c r="O821" i="8"/>
  <c r="O822" i="8" s="1"/>
  <c r="O1208" i="8"/>
  <c r="N1208" i="8"/>
  <c r="P1208" i="8"/>
  <c r="R1208" i="8" s="1"/>
  <c r="R1184" i="8"/>
  <c r="R1180" i="8"/>
  <c r="P433" i="8"/>
  <c r="P434" i="8" s="1"/>
  <c r="R434" i="8" s="1"/>
  <c r="S431" i="8"/>
  <c r="S433" i="8" s="1"/>
  <c r="S434" i="8" s="1"/>
  <c r="R431" i="8"/>
  <c r="R433" i="8" s="1"/>
  <c r="R486" i="8"/>
  <c r="R515" i="8"/>
  <c r="S495" i="8"/>
  <c r="R1301" i="8"/>
  <c r="S1301" i="8"/>
  <c r="R1203" i="8"/>
  <c r="I745" i="8"/>
  <c r="H745" i="8"/>
  <c r="J416" i="8"/>
  <c r="H80" i="8"/>
  <c r="S904" i="8" l="1"/>
  <c r="R904" i="8"/>
  <c r="S518" i="8"/>
  <c r="R1212" i="8"/>
  <c r="S819" i="8"/>
  <c r="S1208" i="8"/>
  <c r="W14" i="3" l="1"/>
  <c r="Y108" i="3"/>
  <c r="W106" i="3"/>
  <c r="W133" i="3" s="1"/>
  <c r="W134" i="3" s="1"/>
  <c r="S1799" i="8"/>
  <c r="S1798" i="8"/>
  <c r="S1796" i="8"/>
  <c r="S1795" i="8"/>
  <c r="S1793" i="8"/>
  <c r="S1792" i="8"/>
  <c r="S1789" i="8"/>
  <c r="S1820" i="8"/>
  <c r="S1819" i="8"/>
  <c r="S1817" i="8"/>
  <c r="S1816" i="8"/>
  <c r="S1810" i="8"/>
  <c r="S460" i="8"/>
  <c r="P460" i="8"/>
  <c r="O460" i="8"/>
  <c r="L460" i="8"/>
  <c r="K460" i="8"/>
  <c r="I460" i="8"/>
  <c r="H460" i="8"/>
  <c r="M459" i="8"/>
  <c r="M466" i="8" s="1"/>
  <c r="L459" i="8"/>
  <c r="K459" i="8"/>
  <c r="K466" i="8" s="1"/>
  <c r="I459" i="8"/>
  <c r="I466" i="8" s="1"/>
  <c r="H459" i="8"/>
  <c r="H466" i="8" s="1"/>
  <c r="Q453" i="8"/>
  <c r="Q459" i="8" s="1"/>
  <c r="Q466" i="8" s="1"/>
  <c r="P453" i="8"/>
  <c r="O453" i="8"/>
  <c r="O456" i="8" s="1"/>
  <c r="N453" i="8"/>
  <c r="N459" i="8" s="1"/>
  <c r="N466" i="8" s="1"/>
  <c r="V13" i="3"/>
  <c r="N1725" i="8"/>
  <c r="M1428" i="8"/>
  <c r="K1428" i="8"/>
  <c r="J1428" i="8"/>
  <c r="I1428" i="8"/>
  <c r="H1428" i="8"/>
  <c r="N1410" i="8"/>
  <c r="N1428" i="8" s="1"/>
  <c r="P1348" i="8"/>
  <c r="V11" i="3" l="1"/>
  <c r="AC11" i="3"/>
  <c r="AC108" i="3"/>
  <c r="L466" i="8"/>
  <c r="L1325" i="8" s="1"/>
  <c r="S453" i="8"/>
  <c r="S459" i="8" s="1"/>
  <c r="S466" i="8" s="1"/>
  <c r="O459" i="8"/>
  <c r="O466" i="8" s="1"/>
  <c r="P459" i="8"/>
  <c r="P466" i="8" s="1"/>
  <c r="R453" i="8"/>
  <c r="R459" i="8" s="1"/>
  <c r="R466" i="8" s="1"/>
  <c r="M1714" i="8"/>
  <c r="L1695" i="8"/>
  <c r="K1675" i="8"/>
  <c r="K1695" i="8" s="1"/>
  <c r="K1714" i="8" s="1"/>
  <c r="I1675" i="8"/>
  <c r="I1695" i="8" s="1"/>
  <c r="I1714" i="8" s="1"/>
  <c r="H1675" i="8"/>
  <c r="H1695" i="8" s="1"/>
  <c r="P1657" i="8"/>
  <c r="S1657" i="8" s="1"/>
  <c r="O1695" i="8"/>
  <c r="O1714" i="8" s="1"/>
  <c r="N59" i="3"/>
  <c r="M59" i="3"/>
  <c r="M58" i="3" s="1"/>
  <c r="O60" i="3"/>
  <c r="L1791" i="8" l="1"/>
  <c r="L1699" i="8"/>
  <c r="L1718" i="8" s="1"/>
  <c r="N1695" i="8"/>
  <c r="N1714" i="8" s="1"/>
  <c r="H1714" i="8"/>
  <c r="P1695" i="8"/>
  <c r="L1714" i="8"/>
  <c r="M1699" i="8"/>
  <c r="P1675" i="8"/>
  <c r="R1714" i="8"/>
  <c r="O59" i="3"/>
  <c r="M14" i="3"/>
  <c r="M133" i="3"/>
  <c r="M134" i="3" s="1"/>
  <c r="N58" i="3"/>
  <c r="Q1675" i="8"/>
  <c r="S1675" i="8"/>
  <c r="S1695" i="8" s="1"/>
  <c r="S1714" i="8" s="1"/>
  <c r="AB1729" i="8"/>
  <c r="AB1726" i="8"/>
  <c r="AB1725" i="8"/>
  <c r="AB1621" i="8"/>
  <c r="AB1620" i="8"/>
  <c r="AB1619" i="8"/>
  <c r="AB1618" i="8"/>
  <c r="AB1617" i="8"/>
  <c r="AB1616" i="8"/>
  <c r="AB1615" i="8"/>
  <c r="AB1614" i="8"/>
  <c r="AB1613" i="8"/>
  <c r="AB1612" i="8"/>
  <c r="AB1611" i="8"/>
  <c r="AB1610" i="8"/>
  <c r="AB1609" i="8"/>
  <c r="AB1608" i="8"/>
  <c r="AB1607" i="8"/>
  <c r="AB1606" i="8"/>
  <c r="AB1605" i="8"/>
  <c r="AB1604" i="8"/>
  <c r="AB1603" i="8"/>
  <c r="AB1602" i="8"/>
  <c r="AB1601" i="8"/>
  <c r="AB1600" i="8"/>
  <c r="AB1599" i="8"/>
  <c r="AB1597" i="8"/>
  <c r="AB1596" i="8"/>
  <c r="AB1595" i="8"/>
  <c r="AB1594" i="8"/>
  <c r="AB1593" i="8"/>
  <c r="AB1592" i="8"/>
  <c r="AB1591" i="8"/>
  <c r="AB1590" i="8"/>
  <c r="AB1589" i="8"/>
  <c r="AB1588" i="8"/>
  <c r="AB1587" i="8"/>
  <c r="AB1586" i="8"/>
  <c r="AB1585" i="8"/>
  <c r="AB1449" i="8"/>
  <c r="AB1448" i="8"/>
  <c r="AB1447" i="8"/>
  <c r="AB1446" i="8"/>
  <c r="AB1445" i="8"/>
  <c r="AB1386" i="8"/>
  <c r="AB1385" i="8"/>
  <c r="AB1384" i="8"/>
  <c r="AB1383" i="8"/>
  <c r="AB1382" i="8"/>
  <c r="AB1381" i="8"/>
  <c r="AB1380" i="8"/>
  <c r="AB1379" i="8"/>
  <c r="AB1378" i="8"/>
  <c r="AB1377" i="8"/>
  <c r="AB1376" i="8"/>
  <c r="AB1375" i="8"/>
  <c r="AB1374" i="8"/>
  <c r="AB1373" i="8"/>
  <c r="AB1372" i="8"/>
  <c r="AB1371" i="8"/>
  <c r="AB1370" i="8"/>
  <c r="AB1369" i="8"/>
  <c r="AB1368" i="8"/>
  <c r="AB1367" i="8"/>
  <c r="AB1366" i="8"/>
  <c r="AB1365" i="8"/>
  <c r="AB1364" i="8"/>
  <c r="AB1363" i="8"/>
  <c r="AB1362" i="8"/>
  <c r="AB1361" i="8"/>
  <c r="AB1360" i="8"/>
  <c r="AB1359" i="8"/>
  <c r="AB1358" i="8"/>
  <c r="AB1357" i="8"/>
  <c r="AB1356" i="8"/>
  <c r="AB1355" i="8"/>
  <c r="AB1354" i="8"/>
  <c r="AB1353" i="8"/>
  <c r="AB1352" i="8"/>
  <c r="AB1351" i="8"/>
  <c r="AB1350" i="8"/>
  <c r="AB1349" i="8"/>
  <c r="AB1348" i="8"/>
  <c r="AB1346" i="8"/>
  <c r="AB1345" i="8"/>
  <c r="AB1344" i="8"/>
  <c r="AB1343" i="8"/>
  <c r="AB1342" i="8"/>
  <c r="AB1341" i="8"/>
  <c r="AB1340" i="8"/>
  <c r="AB1339" i="8"/>
  <c r="AB1338" i="8"/>
  <c r="AB1337" i="8"/>
  <c r="AB1280" i="8"/>
  <c r="AB1230" i="8"/>
  <c r="AB1220" i="8"/>
  <c r="AB1188" i="8"/>
  <c r="AB1154" i="8"/>
  <c r="AB1120" i="8"/>
  <c r="AB1095" i="8"/>
  <c r="AB1070" i="8"/>
  <c r="AB1024" i="8"/>
  <c r="Z1043" i="8"/>
  <c r="AB1043" i="8" s="1"/>
  <c r="Z1042" i="8"/>
  <c r="AB1042" i="8" s="1"/>
  <c r="AB1041" i="8"/>
  <c r="AB1040" i="8"/>
  <c r="AB1039" i="8"/>
  <c r="AB1014" i="8"/>
  <c r="AB884" i="8"/>
  <c r="AB791" i="8"/>
  <c r="Z743" i="8"/>
  <c r="AB743" i="8" s="1"/>
  <c r="AB742" i="8"/>
  <c r="AB731" i="8"/>
  <c r="AB680" i="8"/>
  <c r="AB679" i="8"/>
  <c r="AB678" i="8"/>
  <c r="AB677" i="8"/>
  <c r="AB676" i="8"/>
  <c r="AB675" i="8"/>
  <c r="AB674" i="8"/>
  <c r="AB673" i="8"/>
  <c r="AB672" i="8"/>
  <c r="AB671" i="8"/>
  <c r="AB670" i="8"/>
  <c r="AB669" i="8"/>
  <c r="AB668" i="8"/>
  <c r="AB667" i="8"/>
  <c r="AB666" i="8"/>
  <c r="AB665" i="8"/>
  <c r="AB664" i="8"/>
  <c r="AB663" i="8"/>
  <c r="AB662" i="8"/>
  <c r="AB661" i="8"/>
  <c r="AB660" i="8"/>
  <c r="AB659" i="8"/>
  <c r="AB658" i="8"/>
  <c r="AB657" i="8"/>
  <c r="AB656" i="8"/>
  <c r="AB655" i="8"/>
  <c r="AB654" i="8"/>
  <c r="AB653" i="8"/>
  <c r="AB652" i="8"/>
  <c r="AB651" i="8"/>
  <c r="AB650" i="8"/>
  <c r="AB649" i="8"/>
  <c r="AB648" i="8"/>
  <c r="AB647" i="8"/>
  <c r="AB646" i="8"/>
  <c r="AB645" i="8"/>
  <c r="AB644" i="8"/>
  <c r="AB643" i="8"/>
  <c r="AB642" i="8"/>
  <c r="AB641" i="8"/>
  <c r="AB577" i="8"/>
  <c r="AB576" i="8"/>
  <c r="AB575" i="8"/>
  <c r="AB574" i="8"/>
  <c r="AB573" i="8"/>
  <c r="AB572" i="8"/>
  <c r="AB571" i="8"/>
  <c r="AB570" i="8"/>
  <c r="AB569" i="8"/>
  <c r="AB568" i="8"/>
  <c r="AB567" i="8"/>
  <c r="AB566" i="8"/>
  <c r="AB565" i="8"/>
  <c r="AB564" i="8"/>
  <c r="AB563" i="8"/>
  <c r="AB562" i="8"/>
  <c r="AB561" i="8"/>
  <c r="AB560" i="8"/>
  <c r="AB559" i="8"/>
  <c r="AB558" i="8"/>
  <c r="AB557" i="8"/>
  <c r="AB554" i="8"/>
  <c r="AB553" i="8"/>
  <c r="AB552" i="8"/>
  <c r="AB551" i="8"/>
  <c r="AB550" i="8"/>
  <c r="AB549" i="8"/>
  <c r="AB548" i="8"/>
  <c r="AB547" i="8"/>
  <c r="AB546" i="8"/>
  <c r="AB545" i="8"/>
  <c r="AB544" i="8"/>
  <c r="AB543" i="8"/>
  <c r="AB542" i="8"/>
  <c r="AB541" i="8"/>
  <c r="AB540" i="8"/>
  <c r="AB539" i="8"/>
  <c r="AB538" i="8"/>
  <c r="AB537" i="8"/>
  <c r="AB532" i="8"/>
  <c r="AB530" i="8"/>
  <c r="AB529" i="8"/>
  <c r="AB528" i="8"/>
  <c r="AB527" i="8"/>
  <c r="AB526" i="8"/>
  <c r="AB525" i="8"/>
  <c r="AB524" i="8"/>
  <c r="AB523" i="8"/>
  <c r="AB450" i="8"/>
  <c r="AB438" i="8"/>
  <c r="AB416" i="8"/>
  <c r="AB355" i="8"/>
  <c r="AB354" i="8"/>
  <c r="AB353" i="8"/>
  <c r="Z298" i="8"/>
  <c r="AB298" i="8" s="1"/>
  <c r="Z236" i="8"/>
  <c r="AB236" i="8" s="1"/>
  <c r="Z235" i="8"/>
  <c r="AB234" i="8"/>
  <c r="AB233" i="8"/>
  <c r="AB232" i="8"/>
  <c r="AB231" i="8"/>
  <c r="AB230" i="8"/>
  <c r="AB229" i="8"/>
  <c r="AB228" i="8"/>
  <c r="AB227" i="8"/>
  <c r="AB226" i="8"/>
  <c r="AB225" i="8"/>
  <c r="AB224" i="8"/>
  <c r="AB223" i="8"/>
  <c r="AB222" i="8"/>
  <c r="AB221" i="8"/>
  <c r="AB220" i="8"/>
  <c r="AB219" i="8"/>
  <c r="AB218" i="8"/>
  <c r="AB217" i="8"/>
  <c r="AB216" i="8"/>
  <c r="AB215" i="8"/>
  <c r="AB214" i="8"/>
  <c r="AB213" i="8"/>
  <c r="AB212" i="8"/>
  <c r="AB211" i="8"/>
  <c r="AB210" i="8"/>
  <c r="AB209" i="8"/>
  <c r="AB208" i="8"/>
  <c r="AB207" i="8"/>
  <c r="AB206" i="8"/>
  <c r="AB205" i="8"/>
  <c r="AB204" i="8"/>
  <c r="AB203" i="8"/>
  <c r="AB202" i="8"/>
  <c r="AB201" i="8"/>
  <c r="AB54" i="8"/>
  <c r="AB52" i="8"/>
  <c r="AB51" i="8"/>
  <c r="AB50" i="8"/>
  <c r="AB49" i="8"/>
  <c r="AB48" i="8"/>
  <c r="AB47" i="8"/>
  <c r="AB46" i="8"/>
  <c r="AB45" i="8"/>
  <c r="AB44" i="8"/>
  <c r="AB43" i="8"/>
  <c r="AB42" i="8"/>
  <c r="AB41" i="8"/>
  <c r="AB40" i="8"/>
  <c r="AB39" i="8"/>
  <c r="AB38" i="8"/>
  <c r="AB37" i="8"/>
  <c r="AB36" i="8"/>
  <c r="AB35" i="8"/>
  <c r="AB34" i="8"/>
  <c r="AB33" i="8"/>
  <c r="AB30" i="8"/>
  <c r="AB29" i="8"/>
  <c r="AB28" i="8"/>
  <c r="AB27" i="8"/>
  <c r="AB26" i="8"/>
  <c r="AB24" i="8"/>
  <c r="AB23" i="8"/>
  <c r="AB22" i="8"/>
  <c r="AB1728" i="8"/>
  <c r="L1190" i="8"/>
  <c r="M1190" i="8"/>
  <c r="AB235" i="8" l="1"/>
  <c r="P1714" i="8"/>
  <c r="M1193" i="8"/>
  <c r="N1190" i="8"/>
  <c r="Q1695" i="8"/>
  <c r="Q1714" i="8" s="1"/>
  <c r="N1699" i="8"/>
  <c r="N1718" i="8" s="1"/>
  <c r="M1718" i="8"/>
  <c r="O58" i="3"/>
  <c r="N14" i="3"/>
  <c r="O14" i="3" s="1"/>
  <c r="N133" i="3"/>
  <c r="AB1347" i="8"/>
  <c r="Q743" i="8"/>
  <c r="P743" i="8"/>
  <c r="O743" i="8"/>
  <c r="K743" i="8"/>
  <c r="J743" i="8"/>
  <c r="K742" i="8"/>
  <c r="O742" i="8"/>
  <c r="P742" i="8"/>
  <c r="Q742" i="8"/>
  <c r="Z741" i="8" l="1"/>
  <c r="X1823" i="8"/>
  <c r="N134" i="3"/>
  <c r="O134" i="3" s="1"/>
  <c r="O133" i="3"/>
  <c r="S743" i="8"/>
  <c r="E199" i="7"/>
  <c r="K199" i="7" s="1"/>
  <c r="S742" i="8"/>
  <c r="R743" i="8"/>
  <c r="AB741" i="8" l="1"/>
  <c r="Z1824" i="8"/>
  <c r="V236" i="8"/>
  <c r="W236" i="8" s="1"/>
  <c r="V235" i="8"/>
  <c r="W235" i="8" s="1"/>
  <c r="V24" i="8"/>
  <c r="W24" i="8" s="1"/>
  <c r="V23" i="8"/>
  <c r="W23" i="8" s="1"/>
  <c r="V22" i="8"/>
  <c r="W22" i="8" s="1"/>
  <c r="K1324" i="8" l="1"/>
  <c r="K1790" i="8" s="1"/>
  <c r="K1811" i="8" s="1"/>
  <c r="I1324" i="8"/>
  <c r="I1790" i="8" s="1"/>
  <c r="I1811" i="8" s="1"/>
  <c r="H1324" i="8"/>
  <c r="H1790" i="8" s="1"/>
  <c r="H1811" i="8" s="1"/>
  <c r="I1194" i="8"/>
  <c r="E353" i="7" s="1"/>
  <c r="H1194" i="8"/>
  <c r="I1193" i="8"/>
  <c r="H1193" i="8"/>
  <c r="L1193" i="8"/>
  <c r="N1193" i="8" s="1"/>
  <c r="I1190" i="8"/>
  <c r="H1190" i="8"/>
  <c r="H1191" i="8" s="1"/>
  <c r="Q1188" i="8"/>
  <c r="P1188" i="8"/>
  <c r="O1188" i="8"/>
  <c r="K1188" i="8"/>
  <c r="S1188" i="8" l="1"/>
  <c r="R1188" i="8"/>
  <c r="K1193" i="8"/>
  <c r="K1194" i="8"/>
  <c r="Q1190" i="8"/>
  <c r="D353" i="7"/>
  <c r="L1194" i="8"/>
  <c r="L1213" i="8" s="1"/>
  <c r="L1324" i="8" s="1"/>
  <c r="P1193" i="8"/>
  <c r="K1190" i="8"/>
  <c r="P1190" i="8"/>
  <c r="I1191" i="8"/>
  <c r="K1191" i="8" s="1"/>
  <c r="M1191" i="8"/>
  <c r="O1193" i="8"/>
  <c r="O1190" i="8"/>
  <c r="L1191" i="8"/>
  <c r="D10" i="5"/>
  <c r="U11" i="3"/>
  <c r="T11" i="3"/>
  <c r="N1191" i="8" l="1"/>
  <c r="R1190" i="8"/>
  <c r="S1190" i="8"/>
  <c r="G353" i="7"/>
  <c r="J353" i="7" s="1"/>
  <c r="Q1191" i="8"/>
  <c r="F353" i="7"/>
  <c r="O1191" i="8"/>
  <c r="P1191" i="8"/>
  <c r="Q1193" i="8"/>
  <c r="R1193" i="8" s="1"/>
  <c r="M1194" i="8"/>
  <c r="N1194" i="8" s="1"/>
  <c r="P1194" i="8"/>
  <c r="P1732" i="8"/>
  <c r="P1736" i="8" s="1"/>
  <c r="P1741" i="8" s="1"/>
  <c r="P1746" i="8" s="1"/>
  <c r="M1732" i="8"/>
  <c r="Q1725" i="8"/>
  <c r="Q1732" i="8" l="1"/>
  <c r="Q1736" i="8" s="1"/>
  <c r="Q1741" i="8" s="1"/>
  <c r="Q1746" i="8" s="1"/>
  <c r="M1736" i="8"/>
  <c r="M1741" i="8" s="1"/>
  <c r="M1746" i="8" s="1"/>
  <c r="M1733" i="8"/>
  <c r="O1733" i="8" s="1"/>
  <c r="O1737" i="8" s="1"/>
  <c r="O1742" i="8" s="1"/>
  <c r="O1747" i="8" s="1"/>
  <c r="M1213" i="8"/>
  <c r="Q1213" i="8" s="1"/>
  <c r="H353" i="7"/>
  <c r="S1193" i="8"/>
  <c r="N1732" i="8"/>
  <c r="N1736" i="8" s="1"/>
  <c r="N1741" i="8" s="1"/>
  <c r="N1746" i="8" s="1"/>
  <c r="S1191" i="8"/>
  <c r="R1191" i="8"/>
  <c r="L1790" i="8"/>
  <c r="P1213" i="8"/>
  <c r="P1324" i="8" s="1"/>
  <c r="Q1194" i="8"/>
  <c r="R1194" i="8" s="1"/>
  <c r="O1194" i="8"/>
  <c r="O1732" i="8"/>
  <c r="O1736" i="8" s="1"/>
  <c r="O1741" i="8" s="1"/>
  <c r="O1746" i="8" s="1"/>
  <c r="L1811" i="8" l="1"/>
  <c r="R1732" i="8"/>
  <c r="R1736" i="8" s="1"/>
  <c r="R1741" i="8" s="1"/>
  <c r="R1746" i="8" s="1"/>
  <c r="Q1733" i="8"/>
  <c r="M1737" i="8"/>
  <c r="M1742" i="8" s="1"/>
  <c r="M1747" i="8" s="1"/>
  <c r="N1213" i="8"/>
  <c r="N1324" i="8" s="1"/>
  <c r="N1790" i="8" s="1"/>
  <c r="N1811" i="8" s="1"/>
  <c r="S1213" i="8"/>
  <c r="R1213" i="8"/>
  <c r="O1213" i="8"/>
  <c r="O1324" i="8" s="1"/>
  <c r="O1790" i="8" s="1"/>
  <c r="O1811" i="8" s="1"/>
  <c r="S1194" i="8"/>
  <c r="I353" i="7"/>
  <c r="K353" i="7"/>
  <c r="L353" i="7" s="1"/>
  <c r="M1324" i="8"/>
  <c r="S1732" i="8"/>
  <c r="S1736" i="8" s="1"/>
  <c r="S1741" i="8" s="1"/>
  <c r="S1746" i="8" s="1"/>
  <c r="O1410" i="8"/>
  <c r="M1414" i="8"/>
  <c r="Q1345" i="8"/>
  <c r="Q1401" i="8"/>
  <c r="M1556" i="8"/>
  <c r="M1575" i="8" s="1"/>
  <c r="N1556" i="8"/>
  <c r="N1575" i="8" s="1"/>
  <c r="P1410" i="8"/>
  <c r="P1428" i="8" s="1"/>
  <c r="P1556" i="8" s="1"/>
  <c r="P1575" i="8" s="1"/>
  <c r="M1790" i="8" l="1"/>
  <c r="M1811" i="8" s="1"/>
  <c r="Q1737" i="8"/>
  <c r="Q1742" i="8" s="1"/>
  <c r="Q1747" i="8" s="1"/>
  <c r="S1733" i="8"/>
  <c r="S1737" i="8" s="1"/>
  <c r="S1742" i="8" s="1"/>
  <c r="S1747" i="8" s="1"/>
  <c r="M1432" i="8"/>
  <c r="M1547" i="8"/>
  <c r="M1566" i="8" s="1"/>
  <c r="M1788" i="8" s="1"/>
  <c r="O1419" i="8"/>
  <c r="O1547" i="8" s="1"/>
  <c r="P1790" i="8"/>
  <c r="P1811" i="8" s="1"/>
  <c r="O1428" i="8"/>
  <c r="O1556" i="8" s="1"/>
  <c r="O1575" i="8" s="1"/>
  <c r="Q1324" i="8"/>
  <c r="Q1790" i="8" s="1"/>
  <c r="Q1410" i="8"/>
  <c r="S1324" i="8" l="1"/>
  <c r="Q1811" i="8"/>
  <c r="S1811" i="8" s="1"/>
  <c r="S1790" i="8"/>
  <c r="Q1428" i="8"/>
  <c r="Q1556" i="8" s="1"/>
  <c r="Q1575" i="8" s="1"/>
  <c r="R1410" i="8"/>
  <c r="R1428" i="8" s="1"/>
  <c r="R1556" i="8" s="1"/>
  <c r="R1575" i="8" s="1"/>
  <c r="S1410" i="8"/>
  <c r="S1428" i="8" s="1"/>
  <c r="Q353" i="8" l="1"/>
  <c r="D352" i="7"/>
  <c r="M1325" i="8" l="1"/>
  <c r="Q1325" i="8" s="1"/>
  <c r="F352" i="7"/>
  <c r="H1325" i="8"/>
  <c r="I1325" i="8"/>
  <c r="I1045" i="8"/>
  <c r="Q1041" i="8"/>
  <c r="P1041" i="8"/>
  <c r="K1041" i="8"/>
  <c r="G352" i="7" l="1"/>
  <c r="J352" i="7" s="1"/>
  <c r="K352" i="7"/>
  <c r="K1325" i="8"/>
  <c r="S1041" i="8"/>
  <c r="I352" i="7" l="1"/>
  <c r="L352" i="7"/>
  <c r="O1212" i="8"/>
  <c r="O1325" i="8" s="1"/>
  <c r="P1325" i="8"/>
  <c r="S1325" i="8" s="1"/>
  <c r="N1212" i="8"/>
  <c r="N1325" i="8" s="1"/>
  <c r="R1325" i="8"/>
  <c r="AB721" i="8"/>
  <c r="R1324" i="8" l="1"/>
  <c r="R1790" i="8" s="1"/>
  <c r="R1811" i="8" s="1"/>
  <c r="X14" i="3"/>
  <c r="X106" i="3"/>
  <c r="X133" i="3" l="1"/>
  <c r="Y106" i="3"/>
  <c r="AB106" i="3"/>
  <c r="V116" i="3"/>
  <c r="V115" i="3" s="1"/>
  <c r="U116" i="3"/>
  <c r="U115" i="3" s="1"/>
  <c r="S116" i="3"/>
  <c r="R116" i="3"/>
  <c r="R115" i="3" s="1"/>
  <c r="Q116" i="3"/>
  <c r="Q115" i="3" s="1"/>
  <c r="K116" i="3"/>
  <c r="K115" i="3" s="1"/>
  <c r="J116" i="3"/>
  <c r="J115" i="3" s="1"/>
  <c r="H116" i="3"/>
  <c r="H115" i="3" s="1"/>
  <c r="G116" i="3"/>
  <c r="G115" i="3" s="1"/>
  <c r="E116" i="3"/>
  <c r="E115" i="3" s="1"/>
  <c r="S115" i="3"/>
  <c r="D116" i="3"/>
  <c r="D115" i="3" s="1"/>
  <c r="AB116" i="3" l="1"/>
  <c r="AB115" i="3" s="1"/>
  <c r="X134" i="3"/>
  <c r="Y134" i="3" s="1"/>
  <c r="Y133" i="3"/>
  <c r="AB835" i="8"/>
  <c r="AB1265" i="8"/>
  <c r="AB556" i="8"/>
  <c r="N1800" i="8" l="1"/>
  <c r="N1821" i="8" s="1"/>
  <c r="L1800" i="8"/>
  <c r="L1821" i="8" s="1"/>
  <c r="K1800" i="8"/>
  <c r="K1821" i="8" s="1"/>
  <c r="I1800" i="8"/>
  <c r="I1821" i="8" s="1"/>
  <c r="H1800" i="8"/>
  <c r="H1821" i="8" s="1"/>
  <c r="P1660" i="8"/>
  <c r="Q1586" i="8"/>
  <c r="Q1585" i="8"/>
  <c r="O1586" i="8"/>
  <c r="P1678" i="8" l="1"/>
  <c r="P1717" i="8" s="1"/>
  <c r="S1660" i="8"/>
  <c r="R1660" i="8"/>
  <c r="R1678" i="8" s="1"/>
  <c r="R1698" i="8" s="1"/>
  <c r="R1717" i="8" s="1"/>
  <c r="R1800" i="8" s="1"/>
  <c r="R1821" i="8" s="1"/>
  <c r="M1800" i="8"/>
  <c r="M1821" i="8" s="1"/>
  <c r="H249" i="7"/>
  <c r="O1660" i="8"/>
  <c r="P1800" i="8"/>
  <c r="H86" i="3"/>
  <c r="G86" i="3"/>
  <c r="E86" i="3"/>
  <c r="Q1678" i="8" l="1"/>
  <c r="Q1698" i="8" s="1"/>
  <c r="Q1717" i="8" s="1"/>
  <c r="Q1800" i="8" s="1"/>
  <c r="Q1821" i="8" s="1"/>
  <c r="O1678" i="8"/>
  <c r="P1821" i="8"/>
  <c r="S1678" i="8"/>
  <c r="S1698" i="8" s="1"/>
  <c r="S1717" i="8" s="1"/>
  <c r="J37" i="16"/>
  <c r="J28" i="16"/>
  <c r="J30" i="16" s="1"/>
  <c r="O1698" i="8" l="1"/>
  <c r="O1717" i="8" s="1"/>
  <c r="O1800" i="8" s="1"/>
  <c r="O1821" i="8" s="1"/>
  <c r="S1821" i="8"/>
  <c r="S1800" i="8"/>
  <c r="J39" i="16"/>
  <c r="AB113" i="3" l="1"/>
  <c r="AB112" i="3" s="1"/>
  <c r="AC112" i="3" s="1"/>
  <c r="Q1735" i="8"/>
  <c r="Q1740" i="8" s="1"/>
  <c r="Q1745" i="8" s="1"/>
  <c r="E113" i="3"/>
  <c r="E112" i="3" s="1"/>
  <c r="D113" i="3"/>
  <c r="D112" i="3" s="1"/>
  <c r="F96" i="3"/>
  <c r="F95" i="3"/>
  <c r="F94" i="3"/>
  <c r="F93" i="3"/>
  <c r="F92" i="3"/>
  <c r="F90" i="3"/>
  <c r="F82" i="3"/>
  <c r="F81" i="3"/>
  <c r="F80" i="3"/>
  <c r="F78" i="3"/>
  <c r="F77" i="3"/>
  <c r="F76" i="3"/>
  <c r="F75" i="3"/>
  <c r="F53" i="3"/>
  <c r="F52" i="3"/>
  <c r="F51" i="3"/>
  <c r="F50" i="3"/>
  <c r="F49" i="3"/>
  <c r="F46" i="3"/>
  <c r="F43" i="3"/>
  <c r="N1214" i="8" l="1"/>
  <c r="E16" i="3"/>
  <c r="F29" i="3"/>
  <c r="F105" i="3" l="1"/>
  <c r="F104" i="3"/>
  <c r="F103" i="3"/>
  <c r="F102" i="3"/>
  <c r="F101" i="3"/>
  <c r="E32" i="3"/>
  <c r="Q1729" i="8"/>
  <c r="P1729" i="8"/>
  <c r="K1729" i="8"/>
  <c r="O1585" i="8"/>
  <c r="J1620" i="8"/>
  <c r="J1619" i="8"/>
  <c r="J1617" i="8"/>
  <c r="J1616" i="8"/>
  <c r="J1615" i="8"/>
  <c r="J1614" i="8"/>
  <c r="J1613" i="8"/>
  <c r="J1612" i="8"/>
  <c r="J1611" i="8"/>
  <c r="J1610" i="8"/>
  <c r="J1609" i="8"/>
  <c r="J1608" i="8"/>
  <c r="J1607" i="8"/>
  <c r="J1606" i="8"/>
  <c r="J1605" i="8"/>
  <c r="J1604" i="8"/>
  <c r="J1603" i="8"/>
  <c r="J1602" i="8"/>
  <c r="J1601" i="8"/>
  <c r="J1600" i="8"/>
  <c r="J1599" i="8"/>
  <c r="J1597" i="8"/>
  <c r="J1596" i="8"/>
  <c r="J1595" i="8"/>
  <c r="J1594" i="8"/>
  <c r="J1593" i="8"/>
  <c r="J1592" i="8"/>
  <c r="J1591" i="8"/>
  <c r="J1590" i="8"/>
  <c r="J1589" i="8"/>
  <c r="J1588" i="8"/>
  <c r="I584" i="8"/>
  <c r="P1731" i="8" l="1"/>
  <c r="S1731" i="8" s="1"/>
  <c r="S1729" i="8"/>
  <c r="Q1043" i="8"/>
  <c r="P1043" i="8"/>
  <c r="M1045" i="8"/>
  <c r="L1045" i="8"/>
  <c r="K1043" i="8"/>
  <c r="H1045" i="8"/>
  <c r="Q884" i="8"/>
  <c r="P884" i="8"/>
  <c r="P886" i="8" s="1"/>
  <c r="M596" i="8"/>
  <c r="M614" i="8" s="1"/>
  <c r="J523" i="8"/>
  <c r="K523" i="8"/>
  <c r="O584" i="8"/>
  <c r="I602" i="8"/>
  <c r="O469" i="8"/>
  <c r="O468" i="8"/>
  <c r="P889" i="8" l="1"/>
  <c r="P894" i="8" s="1"/>
  <c r="P891" i="8"/>
  <c r="S1735" i="8"/>
  <c r="S1740" i="8" s="1"/>
  <c r="S1745" i="8" s="1"/>
  <c r="P1735" i="8"/>
  <c r="P1740" i="8" s="1"/>
  <c r="P1745" i="8" s="1"/>
  <c r="S884" i="8"/>
  <c r="Q596" i="8"/>
  <c r="S1043" i="8"/>
  <c r="H387" i="8"/>
  <c r="M369" i="8"/>
  <c r="I375" i="8"/>
  <c r="I391" i="8" s="1"/>
  <c r="H357" i="8"/>
  <c r="H373" i="8" s="1"/>
  <c r="Q355" i="8"/>
  <c r="Q354" i="8"/>
  <c r="P355" i="8"/>
  <c r="P354" i="8"/>
  <c r="P353" i="8"/>
  <c r="J355" i="8"/>
  <c r="J354" i="8"/>
  <c r="J353" i="8"/>
  <c r="Q584" i="8"/>
  <c r="K353" i="8"/>
  <c r="M357" i="8"/>
  <c r="O353" i="8"/>
  <c r="L369" i="8"/>
  <c r="K355" i="8"/>
  <c r="I303" i="8"/>
  <c r="I304" i="8" s="1"/>
  <c r="E610" i="7" s="1"/>
  <c r="I300" i="8"/>
  <c r="I301" i="8" s="1"/>
  <c r="I80" i="8"/>
  <c r="K26" i="8"/>
  <c r="K29" i="8"/>
  <c r="O644" i="8"/>
  <c r="K644" i="8"/>
  <c r="J644" i="8"/>
  <c r="J31" i="8"/>
  <c r="L387" i="8" l="1"/>
  <c r="M387" i="8"/>
  <c r="Q369" i="8"/>
  <c r="M373" i="8"/>
  <c r="Q357" i="8"/>
  <c r="I373" i="8"/>
  <c r="N369" i="8"/>
  <c r="N387" i="8" s="1"/>
  <c r="R353" i="8"/>
  <c r="R355" i="8"/>
  <c r="S355" i="8"/>
  <c r="S353" i="8"/>
  <c r="J357" i="8"/>
  <c r="J375" i="8" s="1"/>
  <c r="H375" i="8"/>
  <c r="H391" i="8" s="1"/>
  <c r="O369" i="8"/>
  <c r="O387" i="8" s="1"/>
  <c r="P369" i="8"/>
  <c r="Q373" i="8" l="1"/>
  <c r="L470" i="8"/>
  <c r="L1328" i="8" s="1"/>
  <c r="M391" i="8"/>
  <c r="Q391" i="8" s="1"/>
  <c r="M470" i="8"/>
  <c r="M1328" i="8" s="1"/>
  <c r="M1797" i="8" s="1"/>
  <c r="J391" i="8"/>
  <c r="Q387" i="8"/>
  <c r="P387" i="8"/>
  <c r="R369" i="8"/>
  <c r="S369" i="8"/>
  <c r="AB531" i="8"/>
  <c r="L1797" i="8" l="1"/>
  <c r="N470" i="8"/>
  <c r="S387" i="8"/>
  <c r="P189" i="8"/>
  <c r="P188" i="8"/>
  <c r="P187" i="8"/>
  <c r="P186" i="8"/>
  <c r="P185" i="8"/>
  <c r="P184" i="8"/>
  <c r="P183" i="8"/>
  <c r="P182" i="8"/>
  <c r="P181" i="8"/>
  <c r="P180" i="8"/>
  <c r="P179" i="8"/>
  <c r="L190" i="8"/>
  <c r="P174" i="8"/>
  <c r="L148" i="8"/>
  <c r="M149" i="8"/>
  <c r="I149" i="8"/>
  <c r="O148" i="8"/>
  <c r="N148" i="8"/>
  <c r="M148" i="8"/>
  <c r="M152" i="8" s="1"/>
  <c r="H148" i="8"/>
  <c r="O147" i="8"/>
  <c r="N147" i="8"/>
  <c r="M147" i="8"/>
  <c r="L147" i="8"/>
  <c r="K147" i="8"/>
  <c r="I147" i="8"/>
  <c r="M145" i="8"/>
  <c r="G96" i="6" s="1"/>
  <c r="K145" i="8"/>
  <c r="I145" i="8"/>
  <c r="D96" i="6" s="1"/>
  <c r="M143" i="8"/>
  <c r="L143" i="8"/>
  <c r="I143" i="8"/>
  <c r="H143" i="8"/>
  <c r="H147" i="8" s="1"/>
  <c r="P141" i="8"/>
  <c r="Q140" i="8"/>
  <c r="P140" i="8"/>
  <c r="O140" i="8"/>
  <c r="N140" i="8"/>
  <c r="K140" i="8"/>
  <c r="P139" i="8"/>
  <c r="O139" i="8"/>
  <c r="N139" i="8"/>
  <c r="K139" i="8"/>
  <c r="K143" i="8" s="1"/>
  <c r="S159" i="8"/>
  <c r="S160" i="8"/>
  <c r="S161" i="8"/>
  <c r="S162" i="8"/>
  <c r="S163" i="8"/>
  <c r="S164" i="8"/>
  <c r="S165" i="8"/>
  <c r="P1328" i="8" l="1"/>
  <c r="P1797" i="8" s="1"/>
  <c r="L1818" i="8"/>
  <c r="Q1328" i="8"/>
  <c r="P190" i="8"/>
  <c r="Q149" i="8"/>
  <c r="L149" i="8"/>
  <c r="I154" i="8"/>
  <c r="M154" i="8"/>
  <c r="P148" i="8"/>
  <c r="H149" i="8"/>
  <c r="D41" i="7" s="1"/>
  <c r="H152" i="8"/>
  <c r="J152" i="8" s="1"/>
  <c r="J154" i="8" s="1"/>
  <c r="P147" i="8"/>
  <c r="H145" i="8"/>
  <c r="O143" i="8"/>
  <c r="Q147" i="8"/>
  <c r="S148" i="8"/>
  <c r="S140" i="8"/>
  <c r="Q143" i="8"/>
  <c r="Q145" i="8"/>
  <c r="S139" i="8"/>
  <c r="R140" i="8"/>
  <c r="R154" i="8" s="1"/>
  <c r="N143" i="8"/>
  <c r="P143" i="8"/>
  <c r="AB533" i="8"/>
  <c r="P149" i="8" l="1"/>
  <c r="R147" i="8"/>
  <c r="P153" i="8"/>
  <c r="L154" i="8"/>
  <c r="H154" i="8"/>
  <c r="P152" i="8"/>
  <c r="S143" i="8"/>
  <c r="S147" i="8"/>
  <c r="R143" i="8"/>
  <c r="P154" i="8" l="1"/>
  <c r="AB1164" i="8"/>
  <c r="J1598" i="8" l="1"/>
  <c r="AB1598" i="8"/>
  <c r="AB406" i="8"/>
  <c r="AB395" i="8"/>
  <c r="H300" i="8" l="1"/>
  <c r="Q298" i="8"/>
  <c r="Q303" i="8" s="1"/>
  <c r="P298" i="8"/>
  <c r="K303" i="8"/>
  <c r="K304" i="8" s="1"/>
  <c r="J298" i="8"/>
  <c r="F89" i="3" l="1"/>
  <c r="D86" i="3"/>
  <c r="R298" i="8"/>
  <c r="J300" i="8"/>
  <c r="J301" i="8" s="1"/>
  <c r="Q304" i="8"/>
  <c r="S298" i="8"/>
  <c r="K300" i="8"/>
  <c r="K301" i="8" s="1"/>
  <c r="P300" i="8"/>
  <c r="P301" i="8" s="1"/>
  <c r="H301" i="8"/>
  <c r="H303" i="8" s="1"/>
  <c r="P303" i="8"/>
  <c r="P304" i="8" s="1"/>
  <c r="Q300" i="8"/>
  <c r="AB535" i="8"/>
  <c r="AB534" i="8"/>
  <c r="AB555" i="8"/>
  <c r="AB536" i="8"/>
  <c r="S303" i="8" l="1"/>
  <c r="S304" i="8" s="1"/>
  <c r="S300" i="8"/>
  <c r="S301" i="8" s="1"/>
  <c r="Q301" i="8"/>
  <c r="R300" i="8"/>
  <c r="R301" i="8" s="1"/>
  <c r="J303" i="8"/>
  <c r="J304" i="8" s="1"/>
  <c r="H304" i="8"/>
  <c r="D610" i="7" s="1"/>
  <c r="R303" i="8"/>
  <c r="R304" i="8" s="1"/>
  <c r="T134" i="3" l="1"/>
  <c r="P1449" i="8"/>
  <c r="P1448" i="8"/>
  <c r="P1447" i="8"/>
  <c r="P1446" i="8"/>
  <c r="P1445" i="8"/>
  <c r="L1513" i="8"/>
  <c r="P1386" i="8"/>
  <c r="P1385" i="8"/>
  <c r="P1384" i="8"/>
  <c r="P1383" i="8"/>
  <c r="P1382" i="8"/>
  <c r="P1381" i="8"/>
  <c r="P1380" i="8"/>
  <c r="P1379" i="8"/>
  <c r="P1378" i="8"/>
  <c r="P1377" i="8"/>
  <c r="P1376" i="8"/>
  <c r="P1375" i="8"/>
  <c r="P1374" i="8"/>
  <c r="P1373" i="8"/>
  <c r="P1372" i="8"/>
  <c r="P1371" i="8"/>
  <c r="P1370" i="8"/>
  <c r="P1369" i="8"/>
  <c r="P1368" i="8"/>
  <c r="P1367" i="8"/>
  <c r="P1366" i="8"/>
  <c r="P1365" i="8"/>
  <c r="P1364" i="8"/>
  <c r="P1363" i="8"/>
  <c r="P1362" i="8"/>
  <c r="P1361" i="8"/>
  <c r="P1360" i="8"/>
  <c r="P1359" i="8"/>
  <c r="P1358" i="8"/>
  <c r="P1357" i="8"/>
  <c r="P1356" i="8"/>
  <c r="P1355" i="8"/>
  <c r="P1354" i="8"/>
  <c r="P1353" i="8"/>
  <c r="P1352" i="8"/>
  <c r="P1351" i="8"/>
  <c r="P1350" i="8"/>
  <c r="P1349" i="8"/>
  <c r="P1347" i="8"/>
  <c r="P1346" i="8"/>
  <c r="P1345" i="8"/>
  <c r="P1344" i="8"/>
  <c r="P1343" i="8"/>
  <c r="P1342" i="8"/>
  <c r="P1341" i="8"/>
  <c r="P1340" i="8"/>
  <c r="P1339" i="8"/>
  <c r="P1338" i="8"/>
  <c r="P1337" i="8"/>
  <c r="H1398" i="8"/>
  <c r="P469" i="8"/>
  <c r="P468" i="8"/>
  <c r="P644" i="8"/>
  <c r="M781" i="8"/>
  <c r="Q1797" i="8" s="1"/>
  <c r="H614" i="8"/>
  <c r="N602" i="8"/>
  <c r="L602" i="8"/>
  <c r="L1531" i="8" l="1"/>
  <c r="V134" i="3"/>
  <c r="P1401" i="8"/>
  <c r="S1401" i="8" s="1"/>
  <c r="O1401" i="8"/>
  <c r="M1818" i="8"/>
  <c r="Q1818" i="8" s="1"/>
  <c r="L614" i="8"/>
  <c r="O781" i="8" s="1"/>
  <c r="O596" i="8"/>
  <c r="N596" i="8"/>
  <c r="N614" i="8" s="1"/>
  <c r="P596" i="8"/>
  <c r="Q781" i="8"/>
  <c r="F79" i="3"/>
  <c r="S596" i="8" l="1"/>
  <c r="N781" i="8"/>
  <c r="P614" i="8"/>
  <c r="P781" i="8"/>
  <c r="R781" i="8" s="1"/>
  <c r="O600" i="8"/>
  <c r="O614" i="8"/>
  <c r="R387" i="8"/>
  <c r="P612" i="7"/>
  <c r="S781" i="8" l="1"/>
  <c r="P584" i="8"/>
  <c r="P600" i="8" s="1"/>
  <c r="P618" i="8" s="1"/>
  <c r="P470" i="8" l="1"/>
  <c r="R470" i="8" s="1"/>
  <c r="O470" i="8"/>
  <c r="S584" i="8"/>
  <c r="S600" i="8" s="1"/>
  <c r="R584" i="8"/>
  <c r="H600" i="8"/>
  <c r="H618" i="8" s="1"/>
  <c r="H602" i="8"/>
  <c r="J1703" i="8"/>
  <c r="S1703" i="8" s="1"/>
  <c r="N1703" i="8"/>
  <c r="R1703" i="8"/>
  <c r="J1704" i="8"/>
  <c r="S1704" i="8" s="1"/>
  <c r="N1704" i="8"/>
  <c r="R1704" i="8"/>
  <c r="H1705" i="8"/>
  <c r="L1705" i="8"/>
  <c r="P1705" i="8"/>
  <c r="N1706" i="8"/>
  <c r="R1706" i="8"/>
  <c r="S1706" i="8"/>
  <c r="N1707" i="8"/>
  <c r="R1707" i="8"/>
  <c r="S1707" i="8"/>
  <c r="S1709" i="8"/>
  <c r="S1710" i="8"/>
  <c r="S1711" i="8"/>
  <c r="S1712" i="8"/>
  <c r="S1713" i="8"/>
  <c r="S1715" i="8"/>
  <c r="S1716" i="8"/>
  <c r="O1328" i="8" l="1"/>
  <c r="N1328" i="8"/>
  <c r="P602" i="8"/>
  <c r="N1330" i="8"/>
  <c r="AB1054" i="8" l="1"/>
  <c r="O1797" i="8"/>
  <c r="N1797" i="8"/>
  <c r="S1797" i="8"/>
  <c r="S1328" i="8"/>
  <c r="R1328" i="8"/>
  <c r="AC90" i="3"/>
  <c r="J542" i="8"/>
  <c r="K542" i="8"/>
  <c r="O542" i="8"/>
  <c r="P542" i="8"/>
  <c r="Q542" i="8"/>
  <c r="J543" i="8"/>
  <c r="K543" i="8"/>
  <c r="O543" i="8"/>
  <c r="P543" i="8"/>
  <c r="Q543" i="8"/>
  <c r="J544" i="8"/>
  <c r="K544" i="8"/>
  <c r="O544" i="8"/>
  <c r="P544" i="8"/>
  <c r="Q544" i="8"/>
  <c r="P1818" i="8" l="1"/>
  <c r="O1818" i="8"/>
  <c r="N1818" i="8"/>
  <c r="R1797" i="8"/>
  <c r="S542" i="8"/>
  <c r="S543" i="8"/>
  <c r="R543" i="8"/>
  <c r="S544" i="8"/>
  <c r="R542" i="8"/>
  <c r="R544" i="8"/>
  <c r="R1818" i="8" l="1"/>
  <c r="S1818" i="8"/>
  <c r="H260" i="8" l="1"/>
  <c r="K751" i="8" l="1"/>
  <c r="I751" i="8"/>
  <c r="H751" i="8"/>
  <c r="S750" i="8"/>
  <c r="O750" i="8"/>
  <c r="L750" i="8"/>
  <c r="M746" i="8"/>
  <c r="M751" i="8" s="1"/>
  <c r="M778" i="8" s="1"/>
  <c r="L746" i="8"/>
  <c r="L751" i="8" s="1"/>
  <c r="K741" i="8"/>
  <c r="M745" i="8"/>
  <c r="I748" i="8"/>
  <c r="H748" i="8"/>
  <c r="Q741" i="8"/>
  <c r="Q745" i="8" s="1"/>
  <c r="P741" i="8"/>
  <c r="O741" i="8"/>
  <c r="O747" i="8" s="1"/>
  <c r="O752" i="8" s="1"/>
  <c r="O753" i="8" s="1"/>
  <c r="J741" i="8"/>
  <c r="M733" i="8"/>
  <c r="M734" i="8" s="1"/>
  <c r="L733" i="8"/>
  <c r="L736" i="8" s="1"/>
  <c r="L737" i="8" s="1"/>
  <c r="I733" i="8"/>
  <c r="I734" i="8" s="1"/>
  <c r="H733" i="8"/>
  <c r="H736" i="8" s="1"/>
  <c r="Q731" i="8"/>
  <c r="Q733" i="8" s="1"/>
  <c r="P731" i="8"/>
  <c r="P733" i="8" s="1"/>
  <c r="O731" i="8"/>
  <c r="O733" i="8" s="1"/>
  <c r="K731" i="8"/>
  <c r="K733" i="8" s="1"/>
  <c r="J731" i="8"/>
  <c r="J733" i="8" s="1"/>
  <c r="M723" i="8"/>
  <c r="M724" i="8" s="1"/>
  <c r="L723" i="8"/>
  <c r="L726" i="8" s="1"/>
  <c r="L727" i="8" s="1"/>
  <c r="I723" i="8"/>
  <c r="I724" i="8" s="1"/>
  <c r="H723" i="8"/>
  <c r="H726" i="8" s="1"/>
  <c r="Q721" i="8"/>
  <c r="Q723" i="8" s="1"/>
  <c r="P721" i="8"/>
  <c r="P723" i="8" s="1"/>
  <c r="O721" i="8"/>
  <c r="O723" i="8" s="1"/>
  <c r="K721" i="8"/>
  <c r="K723" i="8" s="1"/>
  <c r="J721" i="8"/>
  <c r="J723" i="8" s="1"/>
  <c r="D527" i="7"/>
  <c r="E527" i="7"/>
  <c r="G527" i="7"/>
  <c r="H527" i="7"/>
  <c r="D528" i="7"/>
  <c r="E528" i="7"/>
  <c r="G528" i="7"/>
  <c r="H528" i="7"/>
  <c r="D529" i="7"/>
  <c r="E529" i="7"/>
  <c r="G529" i="7"/>
  <c r="H529" i="7"/>
  <c r="D530" i="7"/>
  <c r="E530" i="7"/>
  <c r="G530" i="7"/>
  <c r="H530" i="7"/>
  <c r="D531" i="7"/>
  <c r="E531" i="7"/>
  <c r="G531" i="7"/>
  <c r="H531" i="7"/>
  <c r="N1300" i="8"/>
  <c r="K1314" i="8"/>
  <c r="K1319" i="8" s="1"/>
  <c r="J1314" i="8"/>
  <c r="J1319" i="8" s="1"/>
  <c r="I1314" i="8"/>
  <c r="I1319" i="8" s="1"/>
  <c r="H1314" i="8"/>
  <c r="H1319" i="8" s="1"/>
  <c r="N1313" i="8"/>
  <c r="N1318" i="8" s="1"/>
  <c r="M1313" i="8"/>
  <c r="M1318" i="8" s="1"/>
  <c r="L1313" i="8"/>
  <c r="L1318" i="8" s="1"/>
  <c r="O1309" i="8"/>
  <c r="O1313" i="8" s="1"/>
  <c r="O1318" i="8" s="1"/>
  <c r="N1307" i="8"/>
  <c r="M1311" i="8"/>
  <c r="L1314" i="8"/>
  <c r="L1315" i="8" s="1"/>
  <c r="H737" i="8" l="1"/>
  <c r="H727" i="8"/>
  <c r="P745" i="8"/>
  <c r="P750" i="8" s="1"/>
  <c r="P747" i="8"/>
  <c r="P752" i="8" s="1"/>
  <c r="P753" i="8" s="1"/>
  <c r="L1320" i="8"/>
  <c r="G612" i="7"/>
  <c r="G611" i="7" s="1"/>
  <c r="M748" i="8"/>
  <c r="K528" i="7"/>
  <c r="P751" i="8"/>
  <c r="L1319" i="8"/>
  <c r="L748" i="8"/>
  <c r="I750" i="8"/>
  <c r="M750" i="8"/>
  <c r="H750" i="8"/>
  <c r="K529" i="7"/>
  <c r="K527" i="7"/>
  <c r="O746" i="8"/>
  <c r="Q751" i="8"/>
  <c r="S741" i="8"/>
  <c r="S746" i="8" s="1"/>
  <c r="K745" i="8"/>
  <c r="R741" i="8"/>
  <c r="Q750" i="8"/>
  <c r="J736" i="8"/>
  <c r="J737" i="8" s="1"/>
  <c r="J734" i="8"/>
  <c r="O736" i="8"/>
  <c r="O737" i="8" s="1"/>
  <c r="O734" i="8"/>
  <c r="Q736" i="8"/>
  <c r="Q737" i="8" s="1"/>
  <c r="Q734" i="8"/>
  <c r="K734" i="8"/>
  <c r="K736" i="8"/>
  <c r="K737" i="8" s="1"/>
  <c r="P734" i="8"/>
  <c r="P736" i="8"/>
  <c r="P737" i="8" s="1"/>
  <c r="S731" i="8"/>
  <c r="S733" i="8" s="1"/>
  <c r="H734" i="8"/>
  <c r="L734" i="8"/>
  <c r="I736" i="8"/>
  <c r="I737" i="8" s="1"/>
  <c r="M736" i="8"/>
  <c r="M737" i="8" s="1"/>
  <c r="R731" i="8"/>
  <c r="R733" i="8" s="1"/>
  <c r="J528" i="7"/>
  <c r="J529" i="7"/>
  <c r="J527" i="7"/>
  <c r="J530" i="7"/>
  <c r="J726" i="8"/>
  <c r="J727" i="8" s="1"/>
  <c r="J724" i="8"/>
  <c r="O726" i="8"/>
  <c r="O727" i="8" s="1"/>
  <c r="O724" i="8"/>
  <c r="Q726" i="8"/>
  <c r="Q727" i="8" s="1"/>
  <c r="Q724" i="8"/>
  <c r="K724" i="8"/>
  <c r="K726" i="8"/>
  <c r="K727" i="8" s="1"/>
  <c r="P724" i="8"/>
  <c r="P726" i="8"/>
  <c r="P727" i="8" s="1"/>
  <c r="S721" i="8"/>
  <c r="S723" i="8" s="1"/>
  <c r="H724" i="8"/>
  <c r="L724" i="8"/>
  <c r="I726" i="8"/>
  <c r="I727" i="8" s="1"/>
  <c r="M726" i="8"/>
  <c r="M727" i="8" s="1"/>
  <c r="R721" i="8"/>
  <c r="R723" i="8" s="1"/>
  <c r="J531" i="7"/>
  <c r="K531" i="7"/>
  <c r="F529" i="7"/>
  <c r="K530" i="7"/>
  <c r="M1314" i="8"/>
  <c r="M1319" i="8" s="1"/>
  <c r="N1314" i="8"/>
  <c r="N1319" i="8" s="1"/>
  <c r="L1311" i="8"/>
  <c r="O1314" i="8"/>
  <c r="O1319" i="8" s="1"/>
  <c r="I1309" i="8"/>
  <c r="H1309" i="8"/>
  <c r="Q1307" i="8"/>
  <c r="P1307" i="8"/>
  <c r="O1307" i="8"/>
  <c r="K1307" i="8"/>
  <c r="K1309" i="8" s="1"/>
  <c r="K1313" i="8" s="1"/>
  <c r="K1318" i="8" s="1"/>
  <c r="J1307" i="8"/>
  <c r="M1282" i="8"/>
  <c r="M1283" i="8" s="1"/>
  <c r="L1282" i="8"/>
  <c r="L1285" i="8" s="1"/>
  <c r="I1282" i="8"/>
  <c r="I1283" i="8" s="1"/>
  <c r="H1282" i="8"/>
  <c r="H1285" i="8" s="1"/>
  <c r="H1300" i="8" s="1"/>
  <c r="Q1280" i="8"/>
  <c r="Q1282" i="8" s="1"/>
  <c r="P1280" i="8"/>
  <c r="P1282" i="8" s="1"/>
  <c r="O1280" i="8"/>
  <c r="O1282" i="8" s="1"/>
  <c r="K1280" i="8"/>
  <c r="K1282" i="8" s="1"/>
  <c r="J1280" i="8"/>
  <c r="J1282" i="8" s="1"/>
  <c r="M1267" i="8"/>
  <c r="L1267" i="8"/>
  <c r="L1270" i="8" s="1"/>
  <c r="L1271" i="8" s="1"/>
  <c r="I1267" i="8"/>
  <c r="H1267" i="8"/>
  <c r="H1270" i="8" s="1"/>
  <c r="Q1265" i="8"/>
  <c r="Q1267" i="8" s="1"/>
  <c r="Q1270" i="8" s="1"/>
  <c r="Q1271" i="8" s="1"/>
  <c r="P1265" i="8"/>
  <c r="P1267" i="8" s="1"/>
  <c r="O1265" i="8"/>
  <c r="O1267" i="8" s="1"/>
  <c r="O1270" i="8" s="1"/>
  <c r="K1265" i="8"/>
  <c r="K1267" i="8" s="1"/>
  <c r="J1265" i="8"/>
  <c r="J1267" i="8" s="1"/>
  <c r="J1270" i="8" s="1"/>
  <c r="G99" i="6"/>
  <c r="O1236" i="8"/>
  <c r="O1235" i="8"/>
  <c r="I1235" i="8"/>
  <c r="H1235" i="8"/>
  <c r="O1233" i="8"/>
  <c r="O1232" i="8"/>
  <c r="I1232" i="8"/>
  <c r="I1233" i="8" s="1"/>
  <c r="H1232" i="8"/>
  <c r="H1233" i="8" s="1"/>
  <c r="P1233" i="8" s="1"/>
  <c r="Q1230" i="8"/>
  <c r="P1230" i="8"/>
  <c r="O1230" i="8"/>
  <c r="K1230" i="8"/>
  <c r="K1235" i="8" s="1"/>
  <c r="K1236" i="8" s="1"/>
  <c r="J1230" i="8"/>
  <c r="J1235" i="8" s="1"/>
  <c r="J1236" i="8" s="1"/>
  <c r="O1250" i="8"/>
  <c r="O1249" i="8"/>
  <c r="O1226" i="8"/>
  <c r="O1225" i="8"/>
  <c r="I1225" i="8"/>
  <c r="I1226" i="8" s="1"/>
  <c r="Q1226" i="8" s="1"/>
  <c r="H1225" i="8"/>
  <c r="H1226" i="8" s="1"/>
  <c r="P1226" i="8" s="1"/>
  <c r="O1223" i="8"/>
  <c r="O1222" i="8"/>
  <c r="I1222" i="8"/>
  <c r="I1223" i="8" s="1"/>
  <c r="Q1223" i="8" s="1"/>
  <c r="H1222" i="8"/>
  <c r="H1223" i="8" s="1"/>
  <c r="P1223" i="8" s="1"/>
  <c r="Q1220" i="8"/>
  <c r="P1220" i="8"/>
  <c r="O1220" i="8"/>
  <c r="K1220" i="8"/>
  <c r="J1220" i="8"/>
  <c r="K1164" i="8"/>
  <c r="O1172" i="8"/>
  <c r="I1172" i="8"/>
  <c r="H1172" i="8"/>
  <c r="P1172" i="8" s="1"/>
  <c r="O1170" i="8"/>
  <c r="I1170" i="8"/>
  <c r="H1170" i="8"/>
  <c r="O1168" i="8"/>
  <c r="O1166" i="8"/>
  <c r="I1166" i="8"/>
  <c r="I1168" i="8" s="1"/>
  <c r="H1166" i="8"/>
  <c r="H1168" i="8" s="1"/>
  <c r="P1168" i="8" s="1"/>
  <c r="Q1164" i="8"/>
  <c r="P1164" i="8"/>
  <c r="O1164" i="8"/>
  <c r="J1164" i="8"/>
  <c r="O1160" i="8"/>
  <c r="I1160" i="8"/>
  <c r="H1160" i="8"/>
  <c r="P1160" i="8" s="1"/>
  <c r="O1159" i="8"/>
  <c r="I1159" i="8"/>
  <c r="Q1159" i="8" s="1"/>
  <c r="H1159" i="8"/>
  <c r="O1157" i="8"/>
  <c r="O1156" i="8"/>
  <c r="I1156" i="8"/>
  <c r="I1157" i="8" s="1"/>
  <c r="H1156" i="8"/>
  <c r="H1157" i="8" s="1"/>
  <c r="P1157" i="8" s="1"/>
  <c r="Q1154" i="8"/>
  <c r="P1154" i="8"/>
  <c r="O1154" i="8"/>
  <c r="K1154" i="8"/>
  <c r="J1154" i="8"/>
  <c r="H350" i="7"/>
  <c r="G350" i="7"/>
  <c r="H349" i="7"/>
  <c r="G349" i="7"/>
  <c r="L1215" i="8"/>
  <c r="M1125" i="8"/>
  <c r="M1126" i="8" s="1"/>
  <c r="L1125" i="8"/>
  <c r="L1126" i="8" s="1"/>
  <c r="I1125" i="8"/>
  <c r="I1126" i="8" s="1"/>
  <c r="E345" i="7" s="1"/>
  <c r="H1125" i="8"/>
  <c r="H1126" i="8" s="1"/>
  <c r="M1122" i="8"/>
  <c r="M1123" i="8" s="1"/>
  <c r="L1122" i="8"/>
  <c r="L1123" i="8" s="1"/>
  <c r="I1122" i="8"/>
  <c r="I1123" i="8" s="1"/>
  <c r="H1122" i="8"/>
  <c r="H1123" i="8" s="1"/>
  <c r="Q1120" i="8"/>
  <c r="P1120" i="8"/>
  <c r="O1120" i="8"/>
  <c r="K1120" i="8"/>
  <c r="J1120" i="8"/>
  <c r="J1337" i="8"/>
  <c r="O1337" i="8"/>
  <c r="Q1337" i="8"/>
  <c r="J1338" i="8"/>
  <c r="O1338" i="8"/>
  <c r="Q1338" i="8"/>
  <c r="J1339" i="8"/>
  <c r="K1339" i="8"/>
  <c r="O1339" i="8"/>
  <c r="Q1339" i="8"/>
  <c r="K1340" i="8"/>
  <c r="N1340" i="8"/>
  <c r="O1340" i="8"/>
  <c r="Q1340" i="8"/>
  <c r="J1341" i="8"/>
  <c r="K1341" i="8"/>
  <c r="O1341" i="8"/>
  <c r="Q1341" i="8"/>
  <c r="J1342" i="8"/>
  <c r="K1342" i="8"/>
  <c r="O1342" i="8"/>
  <c r="Q1342" i="8"/>
  <c r="J1343" i="8"/>
  <c r="K1343" i="8"/>
  <c r="O1343" i="8"/>
  <c r="Q1343" i="8"/>
  <c r="J1344" i="8"/>
  <c r="K1344" i="8"/>
  <c r="O1344" i="8"/>
  <c r="Q1344" i="8"/>
  <c r="J1345" i="8"/>
  <c r="K1345" i="8"/>
  <c r="N1345" i="8"/>
  <c r="O1345" i="8"/>
  <c r="J1346" i="8"/>
  <c r="K1346" i="8"/>
  <c r="N1346" i="8"/>
  <c r="O1346" i="8"/>
  <c r="Q1346" i="8"/>
  <c r="J1347" i="8"/>
  <c r="K1347" i="8"/>
  <c r="N1347" i="8"/>
  <c r="O1347" i="8"/>
  <c r="Q1347" i="8"/>
  <c r="J1348" i="8"/>
  <c r="K1348" i="8"/>
  <c r="O1348" i="8"/>
  <c r="Q1348" i="8"/>
  <c r="J1349" i="8"/>
  <c r="K1349" i="8"/>
  <c r="O1349" i="8"/>
  <c r="Q1349" i="8"/>
  <c r="J1350" i="8"/>
  <c r="K1350" i="8"/>
  <c r="N1350" i="8"/>
  <c r="O1350" i="8"/>
  <c r="Q1350" i="8"/>
  <c r="J1351" i="8"/>
  <c r="K1351" i="8"/>
  <c r="O1351" i="8"/>
  <c r="Q1351" i="8"/>
  <c r="J1352" i="8"/>
  <c r="K1352" i="8"/>
  <c r="O1352" i="8"/>
  <c r="Q1352" i="8"/>
  <c r="J1353" i="8"/>
  <c r="K1353" i="8"/>
  <c r="O1353" i="8"/>
  <c r="Q1353" i="8"/>
  <c r="J1354" i="8"/>
  <c r="K1354" i="8"/>
  <c r="O1354" i="8"/>
  <c r="Q1354" i="8"/>
  <c r="J1355" i="8"/>
  <c r="K1355" i="8"/>
  <c r="O1355" i="8"/>
  <c r="Q1355" i="8"/>
  <c r="O1115" i="8"/>
  <c r="M1100" i="8"/>
  <c r="M1114" i="8" s="1"/>
  <c r="L1100" i="8"/>
  <c r="I1100" i="8"/>
  <c r="I1114" i="8" s="1"/>
  <c r="H1100" i="8"/>
  <c r="M1097" i="8"/>
  <c r="M1098" i="8" s="1"/>
  <c r="L1097" i="8"/>
  <c r="L1098" i="8" s="1"/>
  <c r="I1097" i="8"/>
  <c r="H1097" i="8"/>
  <c r="H1098" i="8" s="1"/>
  <c r="Q1095" i="8"/>
  <c r="P1095" i="8"/>
  <c r="O1095" i="8"/>
  <c r="O1100" i="8" s="1"/>
  <c r="O1114" i="8" s="1"/>
  <c r="K1095" i="8"/>
  <c r="J1095" i="8"/>
  <c r="H1075" i="8"/>
  <c r="P1075" i="8" s="1"/>
  <c r="O1090" i="8"/>
  <c r="O1089" i="8"/>
  <c r="I1089" i="8"/>
  <c r="I1090" i="8" s="1"/>
  <c r="O1076" i="8"/>
  <c r="O1075" i="8"/>
  <c r="I1075" i="8"/>
  <c r="I1076" i="8" s="1"/>
  <c r="O1073" i="8"/>
  <c r="O1072" i="8"/>
  <c r="I1072" i="8"/>
  <c r="I1073" i="8" s="1"/>
  <c r="H1072" i="8"/>
  <c r="H1073" i="8" s="1"/>
  <c r="P1073" i="8" s="1"/>
  <c r="Q1070" i="8"/>
  <c r="P1070" i="8"/>
  <c r="O1070" i="8"/>
  <c r="K1070" i="8"/>
  <c r="J1070" i="8"/>
  <c r="H179" i="7"/>
  <c r="G179" i="7"/>
  <c r="P748" i="8" l="1"/>
  <c r="I1115" i="8"/>
  <c r="I1211" i="8"/>
  <c r="Q1211" i="8" s="1"/>
  <c r="Q1233" i="8"/>
  <c r="D106" i="6"/>
  <c r="J106" i="6" s="1"/>
  <c r="P1300" i="8"/>
  <c r="H1090" i="8"/>
  <c r="P1090" i="8" s="1"/>
  <c r="K1268" i="8"/>
  <c r="K1270" i="8"/>
  <c r="K1271" i="8" s="1"/>
  <c r="P1268" i="8"/>
  <c r="P1270" i="8"/>
  <c r="P1271" i="8" s="1"/>
  <c r="H1274" i="8"/>
  <c r="H1271" i="8"/>
  <c r="J1271" i="8"/>
  <c r="J1274" i="8"/>
  <c r="J1275" i="8" s="1"/>
  <c r="O1271" i="8"/>
  <c r="O1274" i="8"/>
  <c r="O1275" i="8" s="1"/>
  <c r="I1268" i="8"/>
  <c r="D120" i="6" s="1"/>
  <c r="I1270" i="8"/>
  <c r="M1268" i="8"/>
  <c r="G120" i="6" s="1"/>
  <c r="M1270" i="8"/>
  <c r="M1271" i="8" s="1"/>
  <c r="P1235" i="8"/>
  <c r="H1249" i="8"/>
  <c r="P1249" i="8" s="1"/>
  <c r="I1236" i="8"/>
  <c r="I1249" i="8"/>
  <c r="H1101" i="8"/>
  <c r="H1114" i="8"/>
  <c r="H1115" i="8" s="1"/>
  <c r="P1115" i="8" s="1"/>
  <c r="L1101" i="8"/>
  <c r="L1114" i="8"/>
  <c r="Q1160" i="8"/>
  <c r="R1160" i="8" s="1"/>
  <c r="E349" i="7"/>
  <c r="K349" i="7" s="1"/>
  <c r="H1211" i="8"/>
  <c r="Q1172" i="8"/>
  <c r="R1172" i="8" s="1"/>
  <c r="E350" i="7"/>
  <c r="K350" i="7" s="1"/>
  <c r="I753" i="8"/>
  <c r="Q1170" i="8"/>
  <c r="M1215" i="8"/>
  <c r="N1215" i="8" s="1"/>
  <c r="I349" i="7"/>
  <c r="I350" i="7"/>
  <c r="P1170" i="8"/>
  <c r="P1159" i="8"/>
  <c r="S1159" i="8" s="1"/>
  <c r="D350" i="7"/>
  <c r="J350" i="7" s="1"/>
  <c r="L529" i="7"/>
  <c r="H1076" i="8"/>
  <c r="P1076" i="8" s="1"/>
  <c r="S1342" i="8"/>
  <c r="S1340" i="8"/>
  <c r="Q753" i="8"/>
  <c r="K748" i="8"/>
  <c r="K750" i="8"/>
  <c r="S748" i="8"/>
  <c r="S751" i="8"/>
  <c r="S753" i="8" s="1"/>
  <c r="O748" i="8"/>
  <c r="O751" i="8"/>
  <c r="Q748" i="8"/>
  <c r="S736" i="8"/>
  <c r="S737" i="8" s="1"/>
  <c r="S734" i="8"/>
  <c r="R734" i="8"/>
  <c r="R736" i="8"/>
  <c r="R737" i="8" s="1"/>
  <c r="S726" i="8"/>
  <c r="S727" i="8" s="1"/>
  <c r="S724" i="8"/>
  <c r="R724" i="8"/>
  <c r="R726" i="8"/>
  <c r="R727" i="8" s="1"/>
  <c r="S1314" i="8"/>
  <c r="S1319" i="8" s="1"/>
  <c r="Q1314" i="8"/>
  <c r="Q1319" i="8" s="1"/>
  <c r="M1315" i="8"/>
  <c r="H1286" i="8"/>
  <c r="H1302" i="8"/>
  <c r="L1286" i="8"/>
  <c r="L1300" i="8"/>
  <c r="L1302" i="8" s="1"/>
  <c r="N1311" i="8"/>
  <c r="O1311" i="8"/>
  <c r="P1314" i="8"/>
  <c r="P1319" i="8" s="1"/>
  <c r="R1314" i="8"/>
  <c r="R1319" i="8" s="1"/>
  <c r="I1313" i="8"/>
  <c r="I1311" i="8"/>
  <c r="D59" i="6" s="1"/>
  <c r="Q1309" i="8"/>
  <c r="Q1313" i="8" s="1"/>
  <c r="Q1318" i="8" s="1"/>
  <c r="H1313" i="8"/>
  <c r="J1309" i="8"/>
  <c r="J1313" i="8" s="1"/>
  <c r="J1318" i="8" s="1"/>
  <c r="H1311" i="8"/>
  <c r="P1309" i="8"/>
  <c r="K1311" i="8"/>
  <c r="S1307" i="8"/>
  <c r="R1307" i="8"/>
  <c r="K1283" i="8"/>
  <c r="K1285" i="8"/>
  <c r="P1283" i="8"/>
  <c r="P1285" i="8"/>
  <c r="J1285" i="8"/>
  <c r="J1283" i="8"/>
  <c r="O1285" i="8"/>
  <c r="O1283" i="8"/>
  <c r="Q1285" i="8"/>
  <c r="Q1283" i="8"/>
  <c r="D418" i="7"/>
  <c r="G418" i="7"/>
  <c r="S1280" i="8"/>
  <c r="S1282" i="8" s="1"/>
  <c r="H1283" i="8"/>
  <c r="L1283" i="8"/>
  <c r="I1285" i="8"/>
  <c r="I1300" i="8" s="1"/>
  <c r="Q1300" i="8" s="1"/>
  <c r="M1285" i="8"/>
  <c r="R1280" i="8"/>
  <c r="R1282" i="8" s="1"/>
  <c r="R1230" i="8"/>
  <c r="L1268" i="8"/>
  <c r="F120" i="6" s="1"/>
  <c r="H1268" i="8"/>
  <c r="C120" i="6" s="1"/>
  <c r="J1268" i="8"/>
  <c r="O1268" i="8"/>
  <c r="Q1268" i="8"/>
  <c r="S1265" i="8"/>
  <c r="S1267" i="8" s="1"/>
  <c r="S1270" i="8" s="1"/>
  <c r="R1265" i="8"/>
  <c r="R1267" i="8" s="1"/>
  <c r="R1270" i="8" s="1"/>
  <c r="K1232" i="8"/>
  <c r="K1233" i="8" s="1"/>
  <c r="P1232" i="8"/>
  <c r="H1236" i="8"/>
  <c r="C116" i="6"/>
  <c r="I116" i="6" s="1"/>
  <c r="R1233" i="8"/>
  <c r="D116" i="6"/>
  <c r="S1233" i="8"/>
  <c r="S1230" i="8"/>
  <c r="J1232" i="8"/>
  <c r="J1233" i="8" s="1"/>
  <c r="Q1232" i="8"/>
  <c r="Q1235" i="8"/>
  <c r="S1220" i="8"/>
  <c r="S1223" i="8"/>
  <c r="S1226" i="8"/>
  <c r="R1220" i="8"/>
  <c r="R1223" i="8"/>
  <c r="R1226" i="8"/>
  <c r="S1349" i="8"/>
  <c r="S1341" i="8"/>
  <c r="K1222" i="8"/>
  <c r="K1223" i="8" s="1"/>
  <c r="P1222" i="8"/>
  <c r="K1225" i="8"/>
  <c r="K1226" i="8" s="1"/>
  <c r="P1225" i="8"/>
  <c r="J1222" i="8"/>
  <c r="J1223" i="8" s="1"/>
  <c r="Q1222" i="8"/>
  <c r="J1225" i="8"/>
  <c r="J1226" i="8" s="1"/>
  <c r="Q1225" i="8"/>
  <c r="R1352" i="8"/>
  <c r="R1350" i="8"/>
  <c r="R1346" i="8"/>
  <c r="R1345" i="8"/>
  <c r="S1344" i="8"/>
  <c r="R1339" i="8"/>
  <c r="S1338" i="8"/>
  <c r="K1338" i="8"/>
  <c r="S1337" i="8"/>
  <c r="K1337" i="8"/>
  <c r="K1166" i="8"/>
  <c r="R1164" i="8"/>
  <c r="P1166" i="8"/>
  <c r="Q1168" i="8"/>
  <c r="R1168" i="8" s="1"/>
  <c r="J1168" i="8"/>
  <c r="S1164" i="8"/>
  <c r="K1170" i="8"/>
  <c r="J1172" i="8"/>
  <c r="D349" i="7"/>
  <c r="J349" i="7" s="1"/>
  <c r="J1166" i="8"/>
  <c r="Q1166" i="8"/>
  <c r="K1168" i="8"/>
  <c r="J1170" i="8"/>
  <c r="K1172" i="8"/>
  <c r="R1338" i="8"/>
  <c r="S1160" i="8"/>
  <c r="R1154" i="8"/>
  <c r="P1156" i="8"/>
  <c r="Q1157" i="8"/>
  <c r="R1157" i="8" s="1"/>
  <c r="J1157" i="8"/>
  <c r="S1154" i="8"/>
  <c r="K1156" i="8"/>
  <c r="K1159" i="8"/>
  <c r="J1160" i="8"/>
  <c r="J1156" i="8"/>
  <c r="Q1156" i="8"/>
  <c r="K1157" i="8"/>
  <c r="J1159" i="8"/>
  <c r="K1160" i="8"/>
  <c r="S1343" i="8"/>
  <c r="R1347" i="8"/>
  <c r="R1355" i="8"/>
  <c r="R1353" i="8"/>
  <c r="S1351" i="8"/>
  <c r="S1346" i="8"/>
  <c r="R1342" i="8"/>
  <c r="R1341" i="8"/>
  <c r="R1340" i="8"/>
  <c r="R1354" i="8"/>
  <c r="S1352" i="8"/>
  <c r="S1350" i="8"/>
  <c r="R1348" i="8"/>
  <c r="S1120" i="8"/>
  <c r="K1122" i="8"/>
  <c r="K1123" i="8" s="1"/>
  <c r="P1122" i="8"/>
  <c r="P1123" i="8" s="1"/>
  <c r="K1125" i="8"/>
  <c r="K1126" i="8" s="1"/>
  <c r="P1125" i="8"/>
  <c r="P1126" i="8" s="1"/>
  <c r="R1120" i="8"/>
  <c r="J1122" i="8"/>
  <c r="J1123" i="8" s="1"/>
  <c r="O1122" i="8"/>
  <c r="O1123" i="8" s="1"/>
  <c r="Q1122" i="8"/>
  <c r="Q1123" i="8" s="1"/>
  <c r="J1125" i="8"/>
  <c r="J1126" i="8" s="1"/>
  <c r="O1125" i="8"/>
  <c r="O1126" i="8" s="1"/>
  <c r="Q1125" i="8"/>
  <c r="Q1126" i="8" s="1"/>
  <c r="S1355" i="8"/>
  <c r="S1354" i="8"/>
  <c r="S1353" i="8"/>
  <c r="R1351" i="8"/>
  <c r="R1349" i="8"/>
  <c r="S1348" i="8"/>
  <c r="S1347" i="8"/>
  <c r="S1345" i="8"/>
  <c r="R1344" i="8"/>
  <c r="R1343" i="8"/>
  <c r="S1339" i="8"/>
  <c r="P1100" i="8"/>
  <c r="P1114" i="8" s="1"/>
  <c r="S1095" i="8"/>
  <c r="K1097" i="8"/>
  <c r="P1101" i="8"/>
  <c r="R1070" i="8"/>
  <c r="P1097" i="8"/>
  <c r="K1100" i="8"/>
  <c r="K1114" i="8" s="1"/>
  <c r="Q1100" i="8"/>
  <c r="Q1114" i="8" s="1"/>
  <c r="Q1115" i="8"/>
  <c r="P1098" i="8"/>
  <c r="R1095" i="8"/>
  <c r="J1097" i="8"/>
  <c r="O1097" i="8"/>
  <c r="O1098" i="8" s="1"/>
  <c r="Q1097" i="8"/>
  <c r="I1098" i="8"/>
  <c r="J1098" i="8" s="1"/>
  <c r="J1100" i="8"/>
  <c r="I1101" i="8"/>
  <c r="P1072" i="8"/>
  <c r="P1089" i="8"/>
  <c r="Q1076" i="8"/>
  <c r="Q1090" i="8"/>
  <c r="J1090" i="8"/>
  <c r="Q1073" i="8"/>
  <c r="R1073" i="8" s="1"/>
  <c r="J1073" i="8"/>
  <c r="S1070" i="8"/>
  <c r="K1072" i="8"/>
  <c r="K1075" i="8"/>
  <c r="K1089" i="8"/>
  <c r="J1072" i="8"/>
  <c r="Q1072" i="8"/>
  <c r="K1073" i="8"/>
  <c r="J1075" i="8"/>
  <c r="Q1075" i="8"/>
  <c r="R1075" i="8" s="1"/>
  <c r="J1089" i="8"/>
  <c r="Q1089" i="8"/>
  <c r="K1090" i="8"/>
  <c r="O1061" i="8"/>
  <c r="M1058" i="8"/>
  <c r="I1058" i="8"/>
  <c r="D86" i="6" s="1"/>
  <c r="Q1054" i="8"/>
  <c r="P1054" i="8"/>
  <c r="O1054" i="8"/>
  <c r="K1054" i="8"/>
  <c r="J1054" i="8"/>
  <c r="O1049" i="8"/>
  <c r="L1048" i="8"/>
  <c r="M1046" i="8"/>
  <c r="I1046" i="8"/>
  <c r="H1046" i="8"/>
  <c r="Q1039" i="8"/>
  <c r="P1039" i="8"/>
  <c r="O1039" i="8"/>
  <c r="K1039" i="8"/>
  <c r="J1039" i="8"/>
  <c r="O1065" i="8"/>
  <c r="O1064" i="8"/>
  <c r="Q1042" i="8"/>
  <c r="P1042" i="8"/>
  <c r="O1042" i="8"/>
  <c r="K1042" i="8"/>
  <c r="J1042" i="8"/>
  <c r="Q1040" i="8"/>
  <c r="P1040" i="8"/>
  <c r="O1040" i="8"/>
  <c r="K1040" i="8"/>
  <c r="J1040" i="8"/>
  <c r="O458" i="8"/>
  <c r="L458" i="8"/>
  <c r="L462" i="8" s="1"/>
  <c r="M456" i="8"/>
  <c r="M458" i="8"/>
  <c r="I452" i="8"/>
  <c r="H452" i="8"/>
  <c r="H456" i="8" s="1"/>
  <c r="Q450" i="8"/>
  <c r="P450" i="8"/>
  <c r="O450" i="8"/>
  <c r="N450" i="8"/>
  <c r="K450" i="8"/>
  <c r="K884" i="8"/>
  <c r="K887" i="8" s="1"/>
  <c r="K893" i="8"/>
  <c r="I893" i="8"/>
  <c r="H893" i="8"/>
  <c r="O892" i="8"/>
  <c r="M892" i="8"/>
  <c r="L892" i="8"/>
  <c r="H1006" i="8"/>
  <c r="O884" i="8"/>
  <c r="O886" i="8" s="1"/>
  <c r="I887" i="8"/>
  <c r="I1006" i="8" s="1"/>
  <c r="N1033" i="8"/>
  <c r="C158" i="7"/>
  <c r="M1029" i="8"/>
  <c r="M1030" i="8" s="1"/>
  <c r="H157" i="7" s="1"/>
  <c r="L1029" i="8"/>
  <c r="L1030" i="8" s="1"/>
  <c r="I1029" i="8"/>
  <c r="I1030" i="8" s="1"/>
  <c r="H1029" i="8"/>
  <c r="H1030" i="8" s="1"/>
  <c r="M1027" i="8"/>
  <c r="L1027" i="8"/>
  <c r="I1027" i="8"/>
  <c r="H1027" i="8"/>
  <c r="M1026" i="8"/>
  <c r="L1026" i="8"/>
  <c r="I1026" i="8"/>
  <c r="H1026" i="8"/>
  <c r="Q1024" i="8"/>
  <c r="Q1029" i="8" s="1"/>
  <c r="Q1030" i="8" s="1"/>
  <c r="P1024" i="8"/>
  <c r="P1027" i="8" s="1"/>
  <c r="O1024" i="8"/>
  <c r="O1029" i="8" s="1"/>
  <c r="O1030" i="8" s="1"/>
  <c r="K1024" i="8"/>
  <c r="K1027" i="8" s="1"/>
  <c r="J1024" i="8"/>
  <c r="O444" i="8"/>
  <c r="L444" i="8"/>
  <c r="M441" i="8"/>
  <c r="Q441" i="8" s="1"/>
  <c r="L441" i="8"/>
  <c r="G49" i="7"/>
  <c r="E49" i="7"/>
  <c r="D49" i="7"/>
  <c r="M419" i="8"/>
  <c r="L419" i="8"/>
  <c r="L420" i="8" s="1"/>
  <c r="H420" i="8"/>
  <c r="H422" i="8" s="1"/>
  <c r="H423" i="8" s="1"/>
  <c r="D44" i="7" s="1"/>
  <c r="Q416" i="8"/>
  <c r="P416" i="8"/>
  <c r="O416" i="8"/>
  <c r="K416" i="8"/>
  <c r="H408" i="8"/>
  <c r="M408" i="8"/>
  <c r="L408" i="8"/>
  <c r="L409" i="8" s="1"/>
  <c r="I408" i="8"/>
  <c r="H409" i="8"/>
  <c r="H411" i="8" s="1"/>
  <c r="H412" i="8" s="1"/>
  <c r="Q406" i="8"/>
  <c r="P406" i="8"/>
  <c r="O406" i="8"/>
  <c r="K406" i="8"/>
  <c r="K408" i="8" s="1"/>
  <c r="K409" i="8" s="1"/>
  <c r="K411" i="8" s="1"/>
  <c r="K412" i="8" s="1"/>
  <c r="O395" i="8"/>
  <c r="J395" i="8"/>
  <c r="R1090" i="8" l="1"/>
  <c r="O889" i="8"/>
  <c r="O894" i="8" s="1"/>
  <c r="O891" i="8"/>
  <c r="H1215" i="8"/>
  <c r="K889" i="8"/>
  <c r="K1006" i="8"/>
  <c r="L445" i="8"/>
  <c r="L446" i="8" s="1"/>
  <c r="J1114" i="8"/>
  <c r="Q1249" i="8"/>
  <c r="R1249" i="8" s="1"/>
  <c r="J1249" i="8"/>
  <c r="D99" i="6"/>
  <c r="J116" i="6"/>
  <c r="M1320" i="8"/>
  <c r="H612" i="7"/>
  <c r="S1300" i="8"/>
  <c r="L1060" i="8"/>
  <c r="K1300" i="8"/>
  <c r="S1271" i="8"/>
  <c r="S1274" i="8"/>
  <c r="S1275" i="8" s="1"/>
  <c r="H1275" i="8"/>
  <c r="P1274" i="8"/>
  <c r="P1275" i="8" s="1"/>
  <c r="R1271" i="8"/>
  <c r="R1274" i="8"/>
  <c r="R1275" i="8" s="1"/>
  <c r="I1271" i="8"/>
  <c r="E418" i="7" s="1"/>
  <c r="F418" i="7" s="1"/>
  <c r="I1274" i="8"/>
  <c r="J1115" i="8"/>
  <c r="R1159" i="8"/>
  <c r="S1172" i="8"/>
  <c r="R1235" i="8"/>
  <c r="P1211" i="8"/>
  <c r="P1215" i="8" s="1"/>
  <c r="K1115" i="8"/>
  <c r="P1236" i="8"/>
  <c r="D384" i="7"/>
  <c r="J384" i="7" s="1"/>
  <c r="Q1236" i="8"/>
  <c r="E384" i="7"/>
  <c r="P1302" i="8"/>
  <c r="H892" i="8"/>
  <c r="P887" i="8"/>
  <c r="P1006" i="8" s="1"/>
  <c r="I889" i="8"/>
  <c r="Q887" i="8"/>
  <c r="Q1006" i="8" s="1"/>
  <c r="K1211" i="8"/>
  <c r="O1215" i="8"/>
  <c r="K419" i="8"/>
  <c r="K420" i="8" s="1"/>
  <c r="K422" i="8" s="1"/>
  <c r="K423" i="8" s="1"/>
  <c r="I458" i="8"/>
  <c r="I462" i="8" s="1"/>
  <c r="I456" i="8"/>
  <c r="K753" i="8"/>
  <c r="J419" i="8"/>
  <c r="Q454" i="8"/>
  <c r="Q460" i="8" s="1"/>
  <c r="M460" i="8"/>
  <c r="M462" i="8" s="1"/>
  <c r="N462" i="8" s="1"/>
  <c r="O462" i="8" s="1"/>
  <c r="H458" i="8"/>
  <c r="R1170" i="8"/>
  <c r="S1170" i="8"/>
  <c r="Q1215" i="8"/>
  <c r="M893" i="8"/>
  <c r="Q1311" i="8"/>
  <c r="D118" i="6"/>
  <c r="J86" i="6"/>
  <c r="S1115" i="8"/>
  <c r="S1073" i="8"/>
  <c r="P888" i="8"/>
  <c r="P893" i="8" s="1"/>
  <c r="F350" i="7"/>
  <c r="K1076" i="8"/>
  <c r="R1076" i="8"/>
  <c r="J1076" i="8"/>
  <c r="H1315" i="8"/>
  <c r="D612" i="7" s="1"/>
  <c r="H1318" i="8"/>
  <c r="I1315" i="8"/>
  <c r="I1318" i="8"/>
  <c r="H418" i="7"/>
  <c r="M1286" i="8"/>
  <c r="M1300" i="8"/>
  <c r="M1302" i="8" s="1"/>
  <c r="N1302" i="8" s="1"/>
  <c r="Q1286" i="8"/>
  <c r="O1286" i="8"/>
  <c r="O1300" i="8"/>
  <c r="J1286" i="8"/>
  <c r="J1300" i="8"/>
  <c r="J1302" i="8" s="1"/>
  <c r="N1315" i="8"/>
  <c r="N1320" i="8" s="1"/>
  <c r="O1315" i="8"/>
  <c r="O1320" i="8" s="1"/>
  <c r="I1286" i="8"/>
  <c r="I1302" i="8"/>
  <c r="P1286" i="8"/>
  <c r="K1286" i="8"/>
  <c r="P1311" i="8"/>
  <c r="J1311" i="8"/>
  <c r="S1309" i="8"/>
  <c r="S1313" i="8" s="1"/>
  <c r="S1318" i="8" s="1"/>
  <c r="P1313" i="8"/>
  <c r="P1318" i="8" s="1"/>
  <c r="R1309" i="8"/>
  <c r="R1313" i="8" s="1"/>
  <c r="R1318" i="8" s="1"/>
  <c r="H120" i="6"/>
  <c r="J418" i="7"/>
  <c r="S1285" i="8"/>
  <c r="S1283" i="8"/>
  <c r="R1283" i="8"/>
  <c r="R1285" i="8"/>
  <c r="I120" i="6"/>
  <c r="E120" i="6"/>
  <c r="R1232" i="8"/>
  <c r="S1268" i="8"/>
  <c r="R1268" i="8"/>
  <c r="J1250" i="8"/>
  <c r="I1250" i="8"/>
  <c r="Q1250" i="8" s="1"/>
  <c r="H1250" i="8"/>
  <c r="P1250" i="8" s="1"/>
  <c r="K1249" i="8"/>
  <c r="K1250" i="8" s="1"/>
  <c r="R1166" i="8"/>
  <c r="E116" i="6"/>
  <c r="S1232" i="8"/>
  <c r="S1235" i="8"/>
  <c r="R1225" i="8"/>
  <c r="R1222" i="8"/>
  <c r="R1337" i="8"/>
  <c r="S1225" i="8"/>
  <c r="S1222" i="8"/>
  <c r="S1042" i="8"/>
  <c r="R1072" i="8"/>
  <c r="S1090" i="8"/>
  <c r="R1156" i="8"/>
  <c r="F349" i="7"/>
  <c r="S1166" i="8"/>
  <c r="S1168" i="8"/>
  <c r="S1156" i="8"/>
  <c r="S1157" i="8"/>
  <c r="L350" i="7"/>
  <c r="L349" i="7"/>
  <c r="S1125" i="8"/>
  <c r="S1126" i="8" s="1"/>
  <c r="S1122" i="8"/>
  <c r="S1123" i="8" s="1"/>
  <c r="R1125" i="8"/>
  <c r="R1126" i="8" s="1"/>
  <c r="R1122" i="8"/>
  <c r="R1123" i="8" s="1"/>
  <c r="S1076" i="8"/>
  <c r="R1100" i="8"/>
  <c r="R1114" i="8" s="1"/>
  <c r="R1089" i="8"/>
  <c r="R1097" i="8"/>
  <c r="S1100" i="8"/>
  <c r="S1114" i="8" s="1"/>
  <c r="Q1101" i="8"/>
  <c r="J1101" i="8"/>
  <c r="S1097" i="8"/>
  <c r="K1098" i="8"/>
  <c r="Q1098" i="8"/>
  <c r="R1098" i="8" s="1"/>
  <c r="R1115" i="8"/>
  <c r="K1101" i="8"/>
  <c r="S1089" i="8"/>
  <c r="S1072" i="8"/>
  <c r="S1075" i="8"/>
  <c r="S1054" i="8"/>
  <c r="R1054" i="8"/>
  <c r="R1042" i="8"/>
  <c r="Q1058" i="8"/>
  <c r="L1058" i="8"/>
  <c r="F86" i="6" s="1"/>
  <c r="I1060" i="8"/>
  <c r="M1060" i="8"/>
  <c r="O1060" i="8" s="1"/>
  <c r="H1048" i="8"/>
  <c r="P1048" i="8" s="1"/>
  <c r="M1048" i="8"/>
  <c r="L1046" i="8"/>
  <c r="P1046" i="8" s="1"/>
  <c r="O1045" i="8"/>
  <c r="I1048" i="8"/>
  <c r="S1040" i="8"/>
  <c r="Q1045" i="8"/>
  <c r="S1039" i="8"/>
  <c r="J1045" i="8"/>
  <c r="K1045" i="8"/>
  <c r="P1045" i="8"/>
  <c r="R1039" i="8"/>
  <c r="Q1046" i="8"/>
  <c r="J1046" i="8"/>
  <c r="K1046" i="8"/>
  <c r="R1040" i="8"/>
  <c r="P452" i="8"/>
  <c r="P456" i="8" s="1"/>
  <c r="R450" i="8"/>
  <c r="G51" i="7"/>
  <c r="S450" i="8"/>
  <c r="K452" i="8"/>
  <c r="N454" i="8"/>
  <c r="N460" i="8" s="1"/>
  <c r="J452" i="8"/>
  <c r="Q452" i="8"/>
  <c r="G65" i="6"/>
  <c r="L893" i="8"/>
  <c r="L1007" i="8" s="1"/>
  <c r="I892" i="8"/>
  <c r="K892" i="8"/>
  <c r="Q892" i="8"/>
  <c r="R884" i="8"/>
  <c r="J1026" i="8"/>
  <c r="J1027" i="8"/>
  <c r="J1030" i="8"/>
  <c r="J1029" i="8"/>
  <c r="R1024" i="8"/>
  <c r="K1026" i="8"/>
  <c r="P1026" i="8"/>
  <c r="S1024" i="8"/>
  <c r="O1027" i="8"/>
  <c r="Q1027" i="8"/>
  <c r="R1027" i="8" s="1"/>
  <c r="K1029" i="8"/>
  <c r="K1030" i="8" s="1"/>
  <c r="P1029" i="8"/>
  <c r="R1029" i="8" s="1"/>
  <c r="O1026" i="8"/>
  <c r="Q1026" i="8"/>
  <c r="P441" i="8"/>
  <c r="M445" i="8"/>
  <c r="L442" i="8"/>
  <c r="Q445" i="8"/>
  <c r="S416" i="8"/>
  <c r="R416" i="8"/>
  <c r="D43" i="7"/>
  <c r="L422" i="8"/>
  <c r="L423" i="8" s="1"/>
  <c r="O419" i="8"/>
  <c r="Q419" i="8"/>
  <c r="I420" i="8"/>
  <c r="I422" i="8" s="1"/>
  <c r="M420" i="8"/>
  <c r="P419" i="8"/>
  <c r="S406" i="8"/>
  <c r="R406" i="8"/>
  <c r="L411" i="8"/>
  <c r="L412" i="8" s="1"/>
  <c r="O408" i="8"/>
  <c r="Q408" i="8"/>
  <c r="I409" i="8"/>
  <c r="M409" i="8"/>
  <c r="P408" i="8"/>
  <c r="S1249" i="8" l="1"/>
  <c r="P1005" i="8"/>
  <c r="S1211" i="8"/>
  <c r="S1215" i="8" s="1"/>
  <c r="R1215" i="8"/>
  <c r="G50" i="7"/>
  <c r="L467" i="8"/>
  <c r="L1327" i="8" s="1"/>
  <c r="L1330" i="8" s="1"/>
  <c r="P1007" i="8"/>
  <c r="I894" i="8"/>
  <c r="E198" i="7" s="1"/>
  <c r="I1005" i="8"/>
  <c r="H1008" i="8"/>
  <c r="H198" i="7"/>
  <c r="M1007" i="8"/>
  <c r="Q1302" i="8"/>
  <c r="R1302" i="8" s="1"/>
  <c r="I1320" i="8"/>
  <c r="E612" i="7"/>
  <c r="E611" i="7" s="1"/>
  <c r="I1275" i="8"/>
  <c r="Q1274" i="8"/>
  <c r="Q1275" i="8" s="1"/>
  <c r="K1274" i="8"/>
  <c r="K1275" i="8" s="1"/>
  <c r="Q456" i="8"/>
  <c r="R456" i="8" s="1"/>
  <c r="J458" i="8"/>
  <c r="S1236" i="8"/>
  <c r="F384" i="7"/>
  <c r="Q889" i="8"/>
  <c r="R1236" i="8"/>
  <c r="O1302" i="8"/>
  <c r="R1211" i="8"/>
  <c r="H462" i="8"/>
  <c r="D51" i="7" s="1"/>
  <c r="J51" i="7" s="1"/>
  <c r="P458" i="8"/>
  <c r="P462" i="8" s="1"/>
  <c r="I1064" i="8"/>
  <c r="I1215" i="8"/>
  <c r="J1215" i="8" s="1"/>
  <c r="K1215" i="8"/>
  <c r="P467" i="8"/>
  <c r="S1101" i="8"/>
  <c r="R1101" i="8"/>
  <c r="K1302" i="8"/>
  <c r="R888" i="8"/>
  <c r="K1315" i="8"/>
  <c r="K1320" i="8" s="1"/>
  <c r="S888" i="8"/>
  <c r="S893" i="8" s="1"/>
  <c r="Q893" i="8"/>
  <c r="R893" i="8" s="1"/>
  <c r="Q1315" i="8"/>
  <c r="Q1320" i="8" s="1"/>
  <c r="P1315" i="8"/>
  <c r="P1320" i="8" s="1"/>
  <c r="J1315" i="8"/>
  <c r="J1320" i="8" s="1"/>
  <c r="S452" i="8"/>
  <c r="H1320" i="8"/>
  <c r="H611" i="7"/>
  <c r="S1286" i="8"/>
  <c r="R1286" i="8"/>
  <c r="R1300" i="8"/>
  <c r="K418" i="7"/>
  <c r="L418" i="7" s="1"/>
  <c r="R1311" i="8"/>
  <c r="S1311" i="8"/>
  <c r="S1250" i="8"/>
  <c r="R1250" i="8"/>
  <c r="R1045" i="8"/>
  <c r="S1046" i="8"/>
  <c r="S1098" i="8"/>
  <c r="Q1048" i="8"/>
  <c r="R1048" i="8" s="1"/>
  <c r="I1061" i="8"/>
  <c r="E179" i="7" s="1"/>
  <c r="O1058" i="8"/>
  <c r="Q1060" i="8"/>
  <c r="O1046" i="8"/>
  <c r="I1049" i="8"/>
  <c r="J1048" i="8"/>
  <c r="K1048" i="8"/>
  <c r="H1049" i="8"/>
  <c r="S1045" i="8"/>
  <c r="O1048" i="8"/>
  <c r="R1046" i="8"/>
  <c r="N456" i="8"/>
  <c r="E51" i="7"/>
  <c r="Q458" i="8"/>
  <c r="Q462" i="8" s="1"/>
  <c r="R452" i="8"/>
  <c r="K458" i="8"/>
  <c r="K462" i="8" s="1"/>
  <c r="K456" i="8"/>
  <c r="R454" i="8"/>
  <c r="R460" i="8" s="1"/>
  <c r="O893" i="8"/>
  <c r="K894" i="8"/>
  <c r="S887" i="8"/>
  <c r="P892" i="8"/>
  <c r="P1030" i="8"/>
  <c r="R1030" i="8" s="1"/>
  <c r="R1026" i="8"/>
  <c r="S1029" i="8"/>
  <c r="S1030" i="8" s="1"/>
  <c r="S1026" i="8"/>
  <c r="S1027" i="8"/>
  <c r="Q467" i="8"/>
  <c r="S441" i="8"/>
  <c r="S445" i="8" s="1"/>
  <c r="S467" i="8" s="1"/>
  <c r="P445" i="8"/>
  <c r="R441" i="8"/>
  <c r="G43" i="7"/>
  <c r="G44" i="7"/>
  <c r="P420" i="8"/>
  <c r="S419" i="8"/>
  <c r="J420" i="8"/>
  <c r="J422" i="8" s="1"/>
  <c r="I423" i="8"/>
  <c r="J423" i="8" s="1"/>
  <c r="M422" i="8"/>
  <c r="M423" i="8" s="1"/>
  <c r="Q420" i="8"/>
  <c r="R419" i="8"/>
  <c r="O420" i="8"/>
  <c r="O422" i="8" s="1"/>
  <c r="O423" i="8" s="1"/>
  <c r="P409" i="8"/>
  <c r="S408" i="8"/>
  <c r="I411" i="8"/>
  <c r="I412" i="8" s="1"/>
  <c r="M411" i="8"/>
  <c r="M412" i="8" s="1"/>
  <c r="Q409" i="8"/>
  <c r="R408" i="8"/>
  <c r="O409" i="8"/>
  <c r="O411" i="8" s="1"/>
  <c r="O412" i="8" s="1"/>
  <c r="J1005" i="8" l="1"/>
  <c r="O1007" i="8"/>
  <c r="M1327" i="8"/>
  <c r="K1005" i="8"/>
  <c r="L1794" i="8"/>
  <c r="L1802" i="8" s="1"/>
  <c r="Q894" i="8"/>
  <c r="M1794" i="8"/>
  <c r="N1007" i="8"/>
  <c r="P1327" i="8"/>
  <c r="P1794" i="8" s="1"/>
  <c r="K198" i="7"/>
  <c r="S1302" i="8"/>
  <c r="S889" i="8"/>
  <c r="R462" i="8"/>
  <c r="N467" i="8"/>
  <c r="Q1327" i="8"/>
  <c r="R889" i="8"/>
  <c r="S892" i="8"/>
  <c r="S1006" i="8"/>
  <c r="S458" i="8"/>
  <c r="S462" i="8" s="1"/>
  <c r="S456" i="8"/>
  <c r="O467" i="8"/>
  <c r="E43" i="7"/>
  <c r="K612" i="7"/>
  <c r="R1315" i="8"/>
  <c r="R1320" i="8" s="1"/>
  <c r="S1315" i="8"/>
  <c r="S1320" i="8" s="1"/>
  <c r="J612" i="7"/>
  <c r="J611" i="7" s="1"/>
  <c r="D611" i="7"/>
  <c r="F611" i="7" s="1"/>
  <c r="F612" i="7"/>
  <c r="S1048" i="8"/>
  <c r="I1065" i="8"/>
  <c r="Q1065" i="8" s="1"/>
  <c r="Q1064" i="8"/>
  <c r="K179" i="7"/>
  <c r="Q1061" i="8"/>
  <c r="Q1049" i="8"/>
  <c r="J1049" i="8"/>
  <c r="P1049" i="8"/>
  <c r="K1049" i="8"/>
  <c r="H51" i="7"/>
  <c r="I51" i="7" s="1"/>
  <c r="F51" i="7"/>
  <c r="R458" i="8"/>
  <c r="R445" i="8"/>
  <c r="R467" i="8"/>
  <c r="E44" i="7"/>
  <c r="H44" i="7"/>
  <c r="R420" i="8"/>
  <c r="R422" i="8" s="1"/>
  <c r="Q422" i="8"/>
  <c r="Q423" i="8" s="1"/>
  <c r="P422" i="8"/>
  <c r="P423" i="8" s="1"/>
  <c r="S420" i="8"/>
  <c r="S422" i="8" s="1"/>
  <c r="S423" i="8" s="1"/>
  <c r="H43" i="7"/>
  <c r="R409" i="8"/>
  <c r="R411" i="8" s="1"/>
  <c r="Q411" i="8"/>
  <c r="Q412" i="8" s="1"/>
  <c r="P411" i="8"/>
  <c r="P412" i="8" s="1"/>
  <c r="S409" i="8"/>
  <c r="S411" i="8" s="1"/>
  <c r="S412" i="8" s="1"/>
  <c r="S1327" i="8" l="1"/>
  <c r="M1330" i="8"/>
  <c r="M1815" i="8"/>
  <c r="Q1815" i="8" s="1"/>
  <c r="N1327" i="8"/>
  <c r="O1327" i="8"/>
  <c r="O1330" i="8" s="1"/>
  <c r="S1049" i="8"/>
  <c r="L612" i="7"/>
  <c r="R1049" i="8"/>
  <c r="K51" i="7"/>
  <c r="L51" i="7" s="1"/>
  <c r="R894" i="8"/>
  <c r="S894" i="8"/>
  <c r="R423" i="8"/>
  <c r="R412" i="8"/>
  <c r="M398" i="8"/>
  <c r="Q398" i="8" s="1"/>
  <c r="L398" i="8"/>
  <c r="H399" i="8"/>
  <c r="H401" i="8" s="1"/>
  <c r="Q395" i="8"/>
  <c r="P395" i="8"/>
  <c r="K395" i="8"/>
  <c r="K398" i="8" s="1"/>
  <c r="K399" i="8" s="1"/>
  <c r="K401" i="8" s="1"/>
  <c r="K402" i="8" s="1"/>
  <c r="N353" i="8"/>
  <c r="I615" i="7"/>
  <c r="H607" i="7"/>
  <c r="G607" i="7"/>
  <c r="R1327" i="8" l="1"/>
  <c r="H402" i="8"/>
  <c r="D42" i="7" s="1"/>
  <c r="O398" i="8"/>
  <c r="L399" i="8"/>
  <c r="I399" i="8"/>
  <c r="M399" i="8"/>
  <c r="S395" i="8"/>
  <c r="P398" i="8"/>
  <c r="P399" i="8" s="1"/>
  <c r="P401" i="8" s="1"/>
  <c r="P402" i="8" s="1"/>
  <c r="R395" i="8"/>
  <c r="J399" i="8" l="1"/>
  <c r="J401" i="8" s="1"/>
  <c r="D89" i="6"/>
  <c r="I401" i="8"/>
  <c r="I402" i="8" s="1"/>
  <c r="J402" i="8" s="1"/>
  <c r="Q399" i="8"/>
  <c r="Q401" i="8" s="1"/>
  <c r="Q402" i="8" s="1"/>
  <c r="R402" i="8" s="1"/>
  <c r="R398" i="8"/>
  <c r="M401" i="8"/>
  <c r="M402" i="8" s="1"/>
  <c r="O399" i="8"/>
  <c r="O401" i="8" s="1"/>
  <c r="O402" i="8" s="1"/>
  <c r="L401" i="8"/>
  <c r="L402" i="8" s="1"/>
  <c r="G42" i="7" s="1"/>
  <c r="S398" i="8"/>
  <c r="H52" i="7"/>
  <c r="G52" i="7"/>
  <c r="D52" i="7"/>
  <c r="E42" i="7" l="1"/>
  <c r="S399" i="8"/>
  <c r="S401" i="8" s="1"/>
  <c r="S402" i="8" s="1"/>
  <c r="R399" i="8"/>
  <c r="R401" i="8" s="1"/>
  <c r="H42" i="7"/>
  <c r="J52" i="7"/>
  <c r="E52" i="7" l="1"/>
  <c r="F52" i="7" s="1"/>
  <c r="D98" i="3" l="1"/>
  <c r="D55" i="3"/>
  <c r="D44" i="3"/>
  <c r="D34" i="3"/>
  <c r="D32" i="3"/>
  <c r="D16" i="3"/>
  <c r="D15" i="3" l="1"/>
  <c r="L66" i="3" l="1"/>
  <c r="I111" i="3" l="1"/>
  <c r="I110" i="3"/>
  <c r="I109" i="3"/>
  <c r="I107" i="3"/>
  <c r="AC110" i="3"/>
  <c r="AC60" i="3"/>
  <c r="AC95" i="3"/>
  <c r="G34" i="3"/>
  <c r="G32" i="3"/>
  <c r="S129" i="3"/>
  <c r="S127" i="3" s="1"/>
  <c r="S126" i="3" s="1"/>
  <c r="S125" i="3" s="1"/>
  <c r="E98" i="3"/>
  <c r="E71" i="3"/>
  <c r="D71" i="3"/>
  <c r="E44" i="3"/>
  <c r="F44" i="3" s="1"/>
  <c r="E34" i="3"/>
  <c r="F34" i="3" s="1"/>
  <c r="AB86" i="3" l="1"/>
  <c r="AC29" i="3"/>
  <c r="F71" i="3"/>
  <c r="AC17" i="3"/>
  <c r="AB34" i="3"/>
  <c r="F132" i="3"/>
  <c r="F130" i="3"/>
  <c r="F128" i="3"/>
  <c r="F124" i="3"/>
  <c r="F122" i="3"/>
  <c r="F120" i="3"/>
  <c r="F111" i="3"/>
  <c r="F110" i="3"/>
  <c r="F109" i="3"/>
  <c r="F107" i="3"/>
  <c r="F99" i="3"/>
  <c r="F88" i="3"/>
  <c r="F87" i="3"/>
  <c r="F85" i="3"/>
  <c r="F84" i="3"/>
  <c r="F83" i="3"/>
  <c r="F74" i="3"/>
  <c r="F73" i="3"/>
  <c r="F72" i="3"/>
  <c r="F69" i="3"/>
  <c r="F68" i="3"/>
  <c r="F64" i="3"/>
  <c r="F63" i="3"/>
  <c r="F57" i="3"/>
  <c r="F56" i="3"/>
  <c r="F54" i="3"/>
  <c r="F47" i="3"/>
  <c r="F45" i="3"/>
  <c r="F42" i="3"/>
  <c r="F41" i="3"/>
  <c r="F40" i="3"/>
  <c r="F39" i="3"/>
  <c r="F38" i="3"/>
  <c r="F37" i="3"/>
  <c r="F36" i="3"/>
  <c r="F35" i="3"/>
  <c r="F33" i="3"/>
  <c r="F31" i="3"/>
  <c r="F30" i="3"/>
  <c r="F28" i="3"/>
  <c r="F27" i="3"/>
  <c r="F26" i="3"/>
  <c r="F25" i="3"/>
  <c r="F24" i="3"/>
  <c r="F23" i="3"/>
  <c r="F22" i="3"/>
  <c r="F20" i="3"/>
  <c r="F19" i="3"/>
  <c r="F18" i="3"/>
  <c r="F17" i="3"/>
  <c r="AA129" i="3"/>
  <c r="AC129" i="3" s="1"/>
  <c r="AC111" i="3"/>
  <c r="G127" i="3"/>
  <c r="AB127" i="3"/>
  <c r="R127" i="3"/>
  <c r="Q127" i="3"/>
  <c r="K127" i="3"/>
  <c r="J127" i="3"/>
  <c r="H127" i="3"/>
  <c r="E127" i="3"/>
  <c r="E126" i="3" s="1"/>
  <c r="E125" i="3" s="1"/>
  <c r="D127" i="3"/>
  <c r="AB126" i="3"/>
  <c r="R126" i="3"/>
  <c r="R125" i="3" s="1"/>
  <c r="Q126" i="3"/>
  <c r="Q125" i="3" s="1"/>
  <c r="K126" i="3"/>
  <c r="J126" i="3"/>
  <c r="J125" i="3" s="1"/>
  <c r="K125" i="3"/>
  <c r="H126" i="3"/>
  <c r="H125" i="3" s="1"/>
  <c r="R106" i="3"/>
  <c r="Q106" i="3"/>
  <c r="K106" i="3"/>
  <c r="J106" i="3"/>
  <c r="H106" i="3"/>
  <c r="G106" i="3"/>
  <c r="E106" i="3"/>
  <c r="D106" i="3"/>
  <c r="D70" i="3" s="1"/>
  <c r="AC66" i="3" s="1"/>
  <c r="Q98" i="3"/>
  <c r="R98" i="3"/>
  <c r="K98" i="3"/>
  <c r="J98" i="3"/>
  <c r="H98" i="3"/>
  <c r="R86" i="3"/>
  <c r="Q86" i="3"/>
  <c r="K86" i="3"/>
  <c r="J86" i="3"/>
  <c r="E70" i="3"/>
  <c r="AA132" i="3"/>
  <c r="AC132" i="3" s="1"/>
  <c r="AA130" i="3"/>
  <c r="AC130" i="3" s="1"/>
  <c r="AA128" i="3"/>
  <c r="AA124" i="3"/>
  <c r="AC124" i="3" s="1"/>
  <c r="AA116" i="3"/>
  <c r="AA115" i="3" s="1"/>
  <c r="AC109" i="3"/>
  <c r="AA107" i="3"/>
  <c r="AC107" i="3" s="1"/>
  <c r="AC104" i="3"/>
  <c r="AC103" i="3"/>
  <c r="AC96" i="3"/>
  <c r="AC94" i="3"/>
  <c r="AC93" i="3"/>
  <c r="AC89" i="3"/>
  <c r="AC82" i="3"/>
  <c r="AC81" i="3"/>
  <c r="AC80" i="3"/>
  <c r="AC79" i="3"/>
  <c r="AC78" i="3"/>
  <c r="AC77" i="3"/>
  <c r="AC76" i="3"/>
  <c r="AC74" i="3"/>
  <c r="AC73" i="3"/>
  <c r="AC64" i="3"/>
  <c r="AB71" i="3"/>
  <c r="R71" i="3"/>
  <c r="Q71" i="3"/>
  <c r="K71" i="3"/>
  <c r="J71" i="3"/>
  <c r="H71" i="3"/>
  <c r="H70" i="3" s="1"/>
  <c r="R62" i="3"/>
  <c r="AB62" i="3"/>
  <c r="AB59" i="3"/>
  <c r="Q62" i="3"/>
  <c r="R59" i="3"/>
  <c r="Q59" i="3"/>
  <c r="K62" i="3"/>
  <c r="J62" i="3"/>
  <c r="K59" i="3"/>
  <c r="J59" i="3"/>
  <c r="H62" i="3"/>
  <c r="H59" i="3"/>
  <c r="E62" i="3"/>
  <c r="E59" i="3"/>
  <c r="AB55" i="3"/>
  <c r="R55" i="3"/>
  <c r="Q55" i="3"/>
  <c r="K55" i="3"/>
  <c r="J55" i="3"/>
  <c r="H55" i="3"/>
  <c r="G55" i="3"/>
  <c r="E55" i="3"/>
  <c r="F55" i="3" s="1"/>
  <c r="AB44" i="3"/>
  <c r="R44" i="3"/>
  <c r="Q44" i="3"/>
  <c r="K44" i="3"/>
  <c r="J44" i="3"/>
  <c r="H44" i="3"/>
  <c r="G44" i="3"/>
  <c r="R34" i="3"/>
  <c r="Q34" i="3"/>
  <c r="K34" i="3"/>
  <c r="J34" i="3"/>
  <c r="H34" i="3"/>
  <c r="AB32" i="3"/>
  <c r="R32" i="3"/>
  <c r="Q32" i="3"/>
  <c r="K32" i="3"/>
  <c r="J32" i="3"/>
  <c r="H32" i="3"/>
  <c r="R16" i="3"/>
  <c r="Q16" i="3"/>
  <c r="J16" i="3"/>
  <c r="K16" i="3"/>
  <c r="H16" i="3"/>
  <c r="F16" i="3"/>
  <c r="Q70" i="3" l="1"/>
  <c r="F66" i="3"/>
  <c r="D62" i="3"/>
  <c r="K58" i="3"/>
  <c r="Q58" i="3"/>
  <c r="AB58" i="3"/>
  <c r="H58" i="3"/>
  <c r="R58" i="3"/>
  <c r="J70" i="3"/>
  <c r="L59" i="3"/>
  <c r="L62" i="3"/>
  <c r="AC59" i="3"/>
  <c r="R70" i="3"/>
  <c r="AC99" i="3"/>
  <c r="D126" i="3"/>
  <c r="F32" i="3"/>
  <c r="J15" i="3"/>
  <c r="Q15" i="3"/>
  <c r="J58" i="3"/>
  <c r="H15" i="3"/>
  <c r="H14" i="3" s="1"/>
  <c r="H133" i="3" s="1"/>
  <c r="K15" i="3"/>
  <c r="R15" i="3"/>
  <c r="AA106" i="3"/>
  <c r="AC106" i="3" s="1"/>
  <c r="AA127" i="3"/>
  <c r="AC127" i="3" s="1"/>
  <c r="AC128" i="3"/>
  <c r="F106" i="3"/>
  <c r="I106" i="3"/>
  <c r="AB125" i="3"/>
  <c r="F86" i="3"/>
  <c r="K70" i="3"/>
  <c r="E58" i="3"/>
  <c r="Q14" i="3"/>
  <c r="Q133" i="3" s="1"/>
  <c r="E15" i="3"/>
  <c r="E14" i="3" s="1"/>
  <c r="AB15" i="3"/>
  <c r="AB70" i="3"/>
  <c r="Q1814" i="8"/>
  <c r="O1814" i="8"/>
  <c r="N1814" i="8"/>
  <c r="Q1813" i="8"/>
  <c r="P1813" i="8"/>
  <c r="O1813" i="8"/>
  <c r="N1813" i="8"/>
  <c r="S1808" i="8"/>
  <c r="S1807" i="8"/>
  <c r="O1806" i="8"/>
  <c r="S1787" i="8"/>
  <c r="S1786" i="8"/>
  <c r="O1731" i="8"/>
  <c r="O1735" i="8" s="1"/>
  <c r="O1740" i="8" s="1"/>
  <c r="O1745" i="8" s="1"/>
  <c r="C35" i="6"/>
  <c r="Q1728" i="8"/>
  <c r="P1728" i="8"/>
  <c r="O1728" i="8"/>
  <c r="K1728" i="8"/>
  <c r="J1728" i="8"/>
  <c r="Q1726" i="8"/>
  <c r="P1726" i="8"/>
  <c r="O1726" i="8"/>
  <c r="K1726" i="8"/>
  <c r="J1726" i="8"/>
  <c r="P1725" i="8"/>
  <c r="K1725" i="8"/>
  <c r="J1725" i="8"/>
  <c r="D345" i="7"/>
  <c r="C18" i="6"/>
  <c r="D313" i="7"/>
  <c r="F132" i="6"/>
  <c r="C132" i="6"/>
  <c r="S1697" i="8"/>
  <c r="S1696" i="8"/>
  <c r="S1694" i="8"/>
  <c r="S1693" i="8"/>
  <c r="S1692" i="8"/>
  <c r="S1691" i="8"/>
  <c r="S1690" i="8"/>
  <c r="K1689" i="8"/>
  <c r="K1708" i="8" s="1"/>
  <c r="I1689" i="8"/>
  <c r="H1689" i="8"/>
  <c r="P1689" i="8" s="1"/>
  <c r="S1688" i="8"/>
  <c r="S1687" i="8"/>
  <c r="S1685" i="8"/>
  <c r="S1684" i="8"/>
  <c r="H250" i="7"/>
  <c r="S1677" i="8"/>
  <c r="R1677" i="8"/>
  <c r="S1676" i="8"/>
  <c r="R1676" i="8"/>
  <c r="S1674" i="8"/>
  <c r="R1674" i="8"/>
  <c r="S1673" i="8"/>
  <c r="R1673" i="8"/>
  <c r="S1672" i="8"/>
  <c r="R1672" i="8"/>
  <c r="S1671" i="8"/>
  <c r="R1671" i="8"/>
  <c r="S1670" i="8"/>
  <c r="R1670" i="8"/>
  <c r="S1668" i="8"/>
  <c r="R1668" i="8"/>
  <c r="S1667" i="8"/>
  <c r="R1667" i="8"/>
  <c r="G249" i="7"/>
  <c r="S1665" i="8"/>
  <c r="S1664" i="8"/>
  <c r="S1659" i="8"/>
  <c r="S1658" i="8"/>
  <c r="S1656" i="8"/>
  <c r="S1655" i="8"/>
  <c r="S1654" i="8"/>
  <c r="S1653" i="8"/>
  <c r="S1652" i="8"/>
  <c r="P1651" i="8"/>
  <c r="S1650" i="8"/>
  <c r="S1649" i="8"/>
  <c r="S1647" i="8"/>
  <c r="S1646" i="8"/>
  <c r="S1643" i="8"/>
  <c r="S1642" i="8"/>
  <c r="S1641" i="8"/>
  <c r="S1640" i="8"/>
  <c r="S1639" i="8"/>
  <c r="S1638" i="8"/>
  <c r="S1637" i="8"/>
  <c r="S1636" i="8"/>
  <c r="S1635" i="8"/>
  <c r="S1634" i="8"/>
  <c r="S1633" i="8"/>
  <c r="S1632" i="8"/>
  <c r="S1629" i="8"/>
  <c r="S1628" i="8"/>
  <c r="S1627" i="8"/>
  <c r="S1626" i="8"/>
  <c r="S1625" i="8"/>
  <c r="S1624" i="8"/>
  <c r="S1623" i="8"/>
  <c r="S1622" i="8"/>
  <c r="Q1621" i="8"/>
  <c r="P1621" i="8"/>
  <c r="O1621" i="8"/>
  <c r="K1621" i="8"/>
  <c r="Q1620" i="8"/>
  <c r="P1620" i="8"/>
  <c r="O1620" i="8"/>
  <c r="K1620" i="8"/>
  <c r="Q1619" i="8"/>
  <c r="P1619" i="8"/>
  <c r="O1619" i="8"/>
  <c r="N1619" i="8"/>
  <c r="K1619" i="8"/>
  <c r="Q1618" i="8"/>
  <c r="P1618" i="8"/>
  <c r="O1618" i="8"/>
  <c r="K1618" i="8"/>
  <c r="Q1617" i="8"/>
  <c r="P1617" i="8"/>
  <c r="O1617" i="8"/>
  <c r="K1617" i="8"/>
  <c r="Q1616" i="8"/>
  <c r="P1616" i="8"/>
  <c r="O1616" i="8"/>
  <c r="N1616" i="8"/>
  <c r="K1616" i="8"/>
  <c r="Q1615" i="8"/>
  <c r="P1615" i="8"/>
  <c r="O1615" i="8"/>
  <c r="N1615" i="8"/>
  <c r="K1615" i="8"/>
  <c r="Q1614" i="8"/>
  <c r="P1614" i="8"/>
  <c r="O1614" i="8"/>
  <c r="N1614" i="8"/>
  <c r="K1614" i="8"/>
  <c r="Q1613" i="8"/>
  <c r="P1613" i="8"/>
  <c r="O1613" i="8"/>
  <c r="N1613" i="8"/>
  <c r="K1613" i="8"/>
  <c r="Q1612" i="8"/>
  <c r="P1612" i="8"/>
  <c r="O1612" i="8"/>
  <c r="N1612" i="8"/>
  <c r="K1612" i="8"/>
  <c r="Q1611" i="8"/>
  <c r="P1611" i="8"/>
  <c r="O1611" i="8"/>
  <c r="N1611" i="8"/>
  <c r="K1611" i="8"/>
  <c r="Q1610" i="8"/>
  <c r="P1610" i="8"/>
  <c r="O1610" i="8"/>
  <c r="N1610" i="8"/>
  <c r="K1610" i="8"/>
  <c r="Q1609" i="8"/>
  <c r="P1609" i="8"/>
  <c r="O1609" i="8"/>
  <c r="N1609" i="8"/>
  <c r="K1609" i="8"/>
  <c r="Q1608" i="8"/>
  <c r="P1608" i="8"/>
  <c r="O1608" i="8"/>
  <c r="N1608" i="8"/>
  <c r="K1608" i="8"/>
  <c r="Q1607" i="8"/>
  <c r="P1607" i="8"/>
  <c r="O1607" i="8"/>
  <c r="N1607" i="8"/>
  <c r="K1607" i="8"/>
  <c r="Q1606" i="8"/>
  <c r="P1606" i="8"/>
  <c r="O1606" i="8"/>
  <c r="N1606" i="8"/>
  <c r="K1606" i="8"/>
  <c r="Q1605" i="8"/>
  <c r="P1605" i="8"/>
  <c r="O1605" i="8"/>
  <c r="N1605" i="8"/>
  <c r="K1605" i="8"/>
  <c r="Q1604" i="8"/>
  <c r="P1604" i="8"/>
  <c r="O1604" i="8"/>
  <c r="N1604" i="8"/>
  <c r="K1604" i="8"/>
  <c r="Q1603" i="8"/>
  <c r="P1603" i="8"/>
  <c r="O1603" i="8"/>
  <c r="N1603" i="8"/>
  <c r="K1603" i="8"/>
  <c r="Q1602" i="8"/>
  <c r="P1602" i="8"/>
  <c r="O1602" i="8"/>
  <c r="N1602" i="8"/>
  <c r="K1602" i="8"/>
  <c r="Q1601" i="8"/>
  <c r="P1601" i="8"/>
  <c r="O1601" i="8"/>
  <c r="N1601" i="8"/>
  <c r="K1601" i="8"/>
  <c r="Q1600" i="8"/>
  <c r="P1600" i="8"/>
  <c r="O1600" i="8"/>
  <c r="N1600" i="8"/>
  <c r="K1600" i="8"/>
  <c r="Q1599" i="8"/>
  <c r="P1599" i="8"/>
  <c r="O1599" i="8"/>
  <c r="N1599" i="8"/>
  <c r="K1599" i="8"/>
  <c r="Q1598" i="8"/>
  <c r="P1598" i="8"/>
  <c r="O1598" i="8"/>
  <c r="K1598" i="8"/>
  <c r="Q1597" i="8"/>
  <c r="P1597" i="8"/>
  <c r="O1597" i="8"/>
  <c r="K1597" i="8"/>
  <c r="Q1596" i="8"/>
  <c r="P1596" i="8"/>
  <c r="O1596" i="8"/>
  <c r="K1596" i="8"/>
  <c r="Q1595" i="8"/>
  <c r="P1595" i="8"/>
  <c r="O1595" i="8"/>
  <c r="K1595" i="8"/>
  <c r="Q1594" i="8"/>
  <c r="P1594" i="8"/>
  <c r="O1594" i="8"/>
  <c r="K1594" i="8"/>
  <c r="Q1593" i="8"/>
  <c r="P1593" i="8"/>
  <c r="O1593" i="8"/>
  <c r="K1593" i="8"/>
  <c r="Q1592" i="8"/>
  <c r="P1592" i="8"/>
  <c r="O1592" i="8"/>
  <c r="N1592" i="8"/>
  <c r="K1592" i="8"/>
  <c r="Q1591" i="8"/>
  <c r="P1591" i="8"/>
  <c r="O1591" i="8"/>
  <c r="N1591" i="8"/>
  <c r="K1591" i="8"/>
  <c r="Q1590" i="8"/>
  <c r="P1590" i="8"/>
  <c r="O1590" i="8"/>
  <c r="K1590" i="8"/>
  <c r="Q1589" i="8"/>
  <c r="P1589" i="8"/>
  <c r="O1589" i="8"/>
  <c r="K1589" i="8"/>
  <c r="Q1588" i="8"/>
  <c r="P1588" i="8"/>
  <c r="O1588" i="8"/>
  <c r="K1588" i="8"/>
  <c r="Q1587" i="8"/>
  <c r="P1587" i="8"/>
  <c r="O1587" i="8"/>
  <c r="N1587" i="8"/>
  <c r="K1587" i="8"/>
  <c r="J1587" i="8"/>
  <c r="P1586" i="8"/>
  <c r="K1586" i="8"/>
  <c r="J1586" i="8"/>
  <c r="K1585" i="8"/>
  <c r="J1585" i="8"/>
  <c r="S1578" i="8"/>
  <c r="S1577" i="8"/>
  <c r="S1576" i="8"/>
  <c r="S1574" i="8"/>
  <c r="S1573" i="8"/>
  <c r="S1572" i="8"/>
  <c r="S1571" i="8"/>
  <c r="S1570" i="8"/>
  <c r="S1568" i="8"/>
  <c r="S1567" i="8"/>
  <c r="S1565" i="8"/>
  <c r="S1564" i="8"/>
  <c r="S1559" i="8"/>
  <c r="S1558" i="8"/>
  <c r="S1557" i="8"/>
  <c r="S1555" i="8"/>
  <c r="S1554" i="8"/>
  <c r="S1553" i="8"/>
  <c r="S1552" i="8"/>
  <c r="S1551" i="8"/>
  <c r="K1550" i="8"/>
  <c r="K1569" i="8" s="1"/>
  <c r="I1550" i="8"/>
  <c r="I1569" i="8" s="1"/>
  <c r="H1550" i="8"/>
  <c r="H1569" i="8" s="1"/>
  <c r="S1549" i="8"/>
  <c r="S1548" i="8"/>
  <c r="K1547" i="8"/>
  <c r="K1566" i="8" s="1"/>
  <c r="I1547" i="8"/>
  <c r="I1566" i="8" s="1"/>
  <c r="H1547" i="8"/>
  <c r="H1566" i="8" s="1"/>
  <c r="S1546" i="8"/>
  <c r="S1545" i="8"/>
  <c r="O1544" i="8"/>
  <c r="M1544" i="8"/>
  <c r="L1544" i="8"/>
  <c r="S1530" i="8"/>
  <c r="S1529" i="8"/>
  <c r="S1528" i="8"/>
  <c r="S1527" i="8"/>
  <c r="S1526" i="8"/>
  <c r="S1525" i="8"/>
  <c r="S1524" i="8"/>
  <c r="S1523" i="8"/>
  <c r="S1522" i="8"/>
  <c r="S1520" i="8"/>
  <c r="S1519" i="8"/>
  <c r="S1518" i="8"/>
  <c r="S1517" i="8"/>
  <c r="S1516" i="8"/>
  <c r="S1512" i="8"/>
  <c r="S1511" i="8"/>
  <c r="S1510" i="8"/>
  <c r="S1509" i="8"/>
  <c r="S1508" i="8"/>
  <c r="S1507" i="8"/>
  <c r="S1506" i="8"/>
  <c r="S1505" i="8"/>
  <c r="S1504" i="8"/>
  <c r="Q1503" i="8"/>
  <c r="Q1521" i="8" s="1"/>
  <c r="P1503" i="8"/>
  <c r="P1521" i="8" s="1"/>
  <c r="P1550" i="8" s="1"/>
  <c r="S1502" i="8"/>
  <c r="S1501" i="8"/>
  <c r="S1500" i="8"/>
  <c r="S1499" i="8"/>
  <c r="S1498" i="8"/>
  <c r="I1513" i="8"/>
  <c r="I1531" i="8" s="1"/>
  <c r="H1513" i="8"/>
  <c r="H1531" i="8" s="1"/>
  <c r="S1495" i="8"/>
  <c r="S1494" i="8"/>
  <c r="S1493" i="8"/>
  <c r="S1492" i="8"/>
  <c r="S1491" i="8"/>
  <c r="S1490" i="8"/>
  <c r="S1489" i="8"/>
  <c r="S1488" i="8"/>
  <c r="S1487" i="8"/>
  <c r="S1486" i="8"/>
  <c r="S1485" i="8"/>
  <c r="S1484" i="8"/>
  <c r="S1483" i="8"/>
  <c r="S1481" i="8"/>
  <c r="S1480" i="8"/>
  <c r="S1479" i="8"/>
  <c r="S1478" i="8"/>
  <c r="S1477" i="8"/>
  <c r="S1476" i="8"/>
  <c r="S1475" i="8"/>
  <c r="S1474" i="8"/>
  <c r="S1473" i="8"/>
  <c r="S1472" i="8"/>
  <c r="S1471" i="8"/>
  <c r="S1470" i="8"/>
  <c r="S1469" i="8"/>
  <c r="S1468" i="8"/>
  <c r="S1467" i="8"/>
  <c r="S1466" i="8"/>
  <c r="S1465" i="8"/>
  <c r="S1464" i="8"/>
  <c r="S1463" i="8"/>
  <c r="S1462" i="8"/>
  <c r="S1461" i="8"/>
  <c r="S1460" i="8"/>
  <c r="S1459" i="8"/>
  <c r="S1458" i="8"/>
  <c r="S1457" i="8"/>
  <c r="S1456" i="8"/>
  <c r="S1455" i="8"/>
  <c r="S1454" i="8"/>
  <c r="S1453" i="8"/>
  <c r="S1452" i="8"/>
  <c r="S1451" i="8"/>
  <c r="S1450" i="8"/>
  <c r="Q1449" i="8"/>
  <c r="O1449" i="8"/>
  <c r="N1449" i="8"/>
  <c r="K1449" i="8"/>
  <c r="J1449" i="8"/>
  <c r="Q1448" i="8"/>
  <c r="O1448" i="8"/>
  <c r="K1448" i="8"/>
  <c r="J1448" i="8"/>
  <c r="Q1447" i="8"/>
  <c r="O1447" i="8"/>
  <c r="K1447" i="8"/>
  <c r="J1447" i="8"/>
  <c r="Q1446" i="8"/>
  <c r="O1446" i="8"/>
  <c r="N1446" i="8"/>
  <c r="K1446" i="8"/>
  <c r="J1446" i="8"/>
  <c r="Q1445" i="8"/>
  <c r="O1445" i="8"/>
  <c r="N1445" i="8"/>
  <c r="K1445" i="8"/>
  <c r="S1444" i="8"/>
  <c r="S1443" i="8"/>
  <c r="S1442" i="8"/>
  <c r="S1441" i="8"/>
  <c r="S1440" i="8"/>
  <c r="S1439" i="8"/>
  <c r="S1438" i="8"/>
  <c r="S1437" i="8"/>
  <c r="S1436" i="8"/>
  <c r="S1431" i="8"/>
  <c r="S1430" i="8"/>
  <c r="S1429" i="8"/>
  <c r="S1556" i="8"/>
  <c r="S1575" i="8" s="1"/>
  <c r="S1427" i="8"/>
  <c r="S1426" i="8"/>
  <c r="S1425" i="8"/>
  <c r="S1424" i="8"/>
  <c r="S1423" i="8"/>
  <c r="S1422" i="8"/>
  <c r="S1421" i="8"/>
  <c r="S1420" i="8"/>
  <c r="S1418" i="8"/>
  <c r="S1417" i="8"/>
  <c r="I1416" i="8"/>
  <c r="I1544" i="8" s="1"/>
  <c r="I1563" i="8" s="1"/>
  <c r="H1416" i="8"/>
  <c r="H1544" i="8" s="1"/>
  <c r="S1413" i="8"/>
  <c r="S1412" i="8"/>
  <c r="S1411" i="8"/>
  <c r="S1409" i="8"/>
  <c r="S1408" i="8"/>
  <c r="S1407" i="8"/>
  <c r="S1406" i="8"/>
  <c r="S1405" i="8"/>
  <c r="S1404" i="8"/>
  <c r="S1403" i="8"/>
  <c r="S1402" i="8"/>
  <c r="S1400" i="8"/>
  <c r="S1399" i="8"/>
  <c r="Q1398" i="8"/>
  <c r="Q1414" i="8" s="1"/>
  <c r="S1396" i="8"/>
  <c r="S1395" i="8"/>
  <c r="S1394" i="8"/>
  <c r="S1393" i="8"/>
  <c r="S1392" i="8"/>
  <c r="S1391" i="8"/>
  <c r="S1390" i="8"/>
  <c r="S1389" i="8"/>
  <c r="S1388" i="8"/>
  <c r="S1387" i="8"/>
  <c r="Q1386" i="8"/>
  <c r="O1386" i="8"/>
  <c r="N1386" i="8"/>
  <c r="K1386" i="8"/>
  <c r="J1386" i="8"/>
  <c r="Q1385" i="8"/>
  <c r="O1385" i="8"/>
  <c r="N1385" i="8"/>
  <c r="K1385" i="8"/>
  <c r="J1385" i="8"/>
  <c r="Q1384" i="8"/>
  <c r="O1384" i="8"/>
  <c r="N1384" i="8"/>
  <c r="K1384" i="8"/>
  <c r="J1384" i="8"/>
  <c r="Q1383" i="8"/>
  <c r="O1383" i="8"/>
  <c r="N1383" i="8"/>
  <c r="K1383" i="8"/>
  <c r="J1383" i="8"/>
  <c r="Q1382" i="8"/>
  <c r="O1382" i="8"/>
  <c r="N1382" i="8"/>
  <c r="K1382" i="8"/>
  <c r="J1382" i="8"/>
  <c r="Q1381" i="8"/>
  <c r="O1381" i="8"/>
  <c r="N1381" i="8"/>
  <c r="K1381" i="8"/>
  <c r="J1381" i="8"/>
  <c r="Q1380" i="8"/>
  <c r="O1380" i="8"/>
  <c r="N1380" i="8"/>
  <c r="K1380" i="8"/>
  <c r="J1380" i="8"/>
  <c r="Q1379" i="8"/>
  <c r="O1379" i="8"/>
  <c r="N1379" i="8"/>
  <c r="K1379" i="8"/>
  <c r="J1379" i="8"/>
  <c r="Q1378" i="8"/>
  <c r="O1378" i="8"/>
  <c r="N1378" i="8"/>
  <c r="K1378" i="8"/>
  <c r="J1378" i="8"/>
  <c r="Q1377" i="8"/>
  <c r="O1377" i="8"/>
  <c r="N1377" i="8"/>
  <c r="K1377" i="8"/>
  <c r="J1377" i="8"/>
  <c r="Q1376" i="8"/>
  <c r="O1376" i="8"/>
  <c r="N1376" i="8"/>
  <c r="K1376" i="8"/>
  <c r="J1376" i="8"/>
  <c r="Q1375" i="8"/>
  <c r="O1375" i="8"/>
  <c r="N1375" i="8"/>
  <c r="K1375" i="8"/>
  <c r="J1375" i="8"/>
  <c r="Q1374" i="8"/>
  <c r="O1374" i="8"/>
  <c r="N1374" i="8"/>
  <c r="K1374" i="8"/>
  <c r="J1374" i="8"/>
  <c r="Q1373" i="8"/>
  <c r="O1373" i="8"/>
  <c r="N1373" i="8"/>
  <c r="K1373" i="8"/>
  <c r="J1373" i="8"/>
  <c r="Q1372" i="8"/>
  <c r="O1372" i="8"/>
  <c r="K1372" i="8"/>
  <c r="J1372" i="8"/>
  <c r="Q1371" i="8"/>
  <c r="O1371" i="8"/>
  <c r="K1371" i="8"/>
  <c r="J1371" i="8"/>
  <c r="Q1370" i="8"/>
  <c r="O1370" i="8"/>
  <c r="K1370" i="8"/>
  <c r="J1370" i="8"/>
  <c r="Q1369" i="8"/>
  <c r="O1369" i="8"/>
  <c r="K1369" i="8"/>
  <c r="J1369" i="8"/>
  <c r="Q1368" i="8"/>
  <c r="O1368" i="8"/>
  <c r="K1368" i="8"/>
  <c r="J1368" i="8"/>
  <c r="Q1367" i="8"/>
  <c r="O1367" i="8"/>
  <c r="K1367" i="8"/>
  <c r="J1367" i="8"/>
  <c r="Q1366" i="8"/>
  <c r="O1366" i="8"/>
  <c r="K1366" i="8"/>
  <c r="J1366" i="8"/>
  <c r="Q1365" i="8"/>
  <c r="O1365" i="8"/>
  <c r="K1365" i="8"/>
  <c r="J1365" i="8"/>
  <c r="Q1364" i="8"/>
  <c r="O1364" i="8"/>
  <c r="K1364" i="8"/>
  <c r="J1364" i="8"/>
  <c r="Q1363" i="8"/>
  <c r="O1363" i="8"/>
  <c r="K1363" i="8"/>
  <c r="J1363" i="8"/>
  <c r="Q1362" i="8"/>
  <c r="O1362" i="8"/>
  <c r="K1362" i="8"/>
  <c r="J1362" i="8"/>
  <c r="Q1361" i="8"/>
  <c r="O1361" i="8"/>
  <c r="K1361" i="8"/>
  <c r="J1361" i="8"/>
  <c r="Q1360" i="8"/>
  <c r="O1360" i="8"/>
  <c r="K1360" i="8"/>
  <c r="J1360" i="8"/>
  <c r="Q1359" i="8"/>
  <c r="O1359" i="8"/>
  <c r="K1359" i="8"/>
  <c r="Q1358" i="8"/>
  <c r="O1358" i="8"/>
  <c r="K1358" i="8"/>
  <c r="J1358" i="8"/>
  <c r="Q1357" i="8"/>
  <c r="O1357" i="8"/>
  <c r="K1357" i="8"/>
  <c r="J1357" i="8"/>
  <c r="Q1356" i="8"/>
  <c r="O1356" i="8"/>
  <c r="K1356" i="8"/>
  <c r="J1356" i="8"/>
  <c r="M1019" i="8"/>
  <c r="M1033" i="8" s="1"/>
  <c r="L1019" i="8"/>
  <c r="L1033" i="8" s="1"/>
  <c r="I1019" i="8"/>
  <c r="I1033" i="8" s="1"/>
  <c r="H1033" i="8"/>
  <c r="M1017" i="8"/>
  <c r="L1017" i="8"/>
  <c r="F49" i="6" s="1"/>
  <c r="I1017" i="8"/>
  <c r="C49" i="6"/>
  <c r="Q1014" i="8"/>
  <c r="P1014" i="8"/>
  <c r="O1014" i="8"/>
  <c r="K1014" i="8"/>
  <c r="J1014" i="8"/>
  <c r="J1017" i="8" s="1"/>
  <c r="Q1007" i="8"/>
  <c r="R879" i="8"/>
  <c r="J879" i="8"/>
  <c r="S879" i="8" s="1"/>
  <c r="R878" i="8"/>
  <c r="J878" i="8"/>
  <c r="S878" i="8" s="1"/>
  <c r="R877" i="8"/>
  <c r="J877" i="8"/>
  <c r="S877" i="8" s="1"/>
  <c r="R876" i="8"/>
  <c r="J876" i="8"/>
  <c r="S876" i="8" s="1"/>
  <c r="R875" i="8"/>
  <c r="J875" i="8"/>
  <c r="S875" i="8" s="1"/>
  <c r="R874" i="8"/>
  <c r="J874" i="8"/>
  <c r="S874" i="8" s="1"/>
  <c r="R872" i="8"/>
  <c r="J872" i="8"/>
  <c r="S872" i="8" s="1"/>
  <c r="R871" i="8"/>
  <c r="J871" i="8"/>
  <c r="S871" i="8" s="1"/>
  <c r="R870" i="8"/>
  <c r="J870" i="8"/>
  <c r="S870" i="8" s="1"/>
  <c r="R869" i="8"/>
  <c r="J869" i="8"/>
  <c r="S869" i="8" s="1"/>
  <c r="R868" i="8"/>
  <c r="J868" i="8"/>
  <c r="S868" i="8" s="1"/>
  <c r="R867" i="8"/>
  <c r="J867" i="8"/>
  <c r="S867" i="8" s="1"/>
  <c r="R866" i="8"/>
  <c r="J866" i="8"/>
  <c r="S866" i="8" s="1"/>
  <c r="R865" i="8"/>
  <c r="J865" i="8"/>
  <c r="S865" i="8" s="1"/>
  <c r="R854" i="8"/>
  <c r="J854" i="8"/>
  <c r="S854" i="8" s="1"/>
  <c r="R853" i="8"/>
  <c r="J853" i="8"/>
  <c r="S853" i="8" s="1"/>
  <c r="R852" i="8"/>
  <c r="J852" i="8"/>
  <c r="S852" i="8" s="1"/>
  <c r="R851" i="8"/>
  <c r="J851" i="8"/>
  <c r="S851" i="8" s="1"/>
  <c r="R850" i="8"/>
  <c r="J850" i="8"/>
  <c r="S850" i="8" s="1"/>
  <c r="R849" i="8"/>
  <c r="J849" i="8"/>
  <c r="S849" i="8" s="1"/>
  <c r="R847" i="8"/>
  <c r="J847" i="8"/>
  <c r="S847" i="8" s="1"/>
  <c r="R846" i="8"/>
  <c r="J846" i="8"/>
  <c r="S846" i="8" s="1"/>
  <c r="R845" i="8"/>
  <c r="J845" i="8"/>
  <c r="S845" i="8" s="1"/>
  <c r="R844" i="8"/>
  <c r="J844" i="8"/>
  <c r="S844" i="8" s="1"/>
  <c r="R843" i="8"/>
  <c r="J843" i="8"/>
  <c r="S843" i="8" s="1"/>
  <c r="R842" i="8"/>
  <c r="J842" i="8"/>
  <c r="S842" i="8" s="1"/>
  <c r="R841" i="8"/>
  <c r="J841" i="8"/>
  <c r="S841" i="8" s="1"/>
  <c r="R840" i="8"/>
  <c r="J840" i="8"/>
  <c r="S840" i="8" s="1"/>
  <c r="I855" i="8"/>
  <c r="Q835" i="8"/>
  <c r="P835" i="8"/>
  <c r="O835" i="8"/>
  <c r="K835" i="8"/>
  <c r="K839" i="8" s="1"/>
  <c r="K864" i="8" s="1"/>
  <c r="K880" i="8" s="1"/>
  <c r="J835" i="8"/>
  <c r="H196" i="7"/>
  <c r="E196" i="7"/>
  <c r="M796" i="8"/>
  <c r="M825" i="8" s="1"/>
  <c r="L796" i="8"/>
  <c r="L825" i="8" s="1"/>
  <c r="L828" i="8" s="1"/>
  <c r="I796" i="8"/>
  <c r="I825" i="8" s="1"/>
  <c r="H796" i="8"/>
  <c r="H825" i="8" s="1"/>
  <c r="H828" i="8" s="1"/>
  <c r="M793" i="8"/>
  <c r="M794" i="8" s="1"/>
  <c r="L793" i="8"/>
  <c r="L794" i="8" s="1"/>
  <c r="I793" i="8"/>
  <c r="I794" i="8" s="1"/>
  <c r="H793" i="8"/>
  <c r="H794" i="8" s="1"/>
  <c r="Q791" i="8"/>
  <c r="P791" i="8"/>
  <c r="P796" i="8" s="1"/>
  <c r="P825" i="8" s="1"/>
  <c r="P828" i="8" s="1"/>
  <c r="O791" i="8"/>
  <c r="O796" i="8" s="1"/>
  <c r="O825" i="8" s="1"/>
  <c r="K791" i="8"/>
  <c r="K796" i="8" s="1"/>
  <c r="K825" i="8" s="1"/>
  <c r="J791" i="8"/>
  <c r="J793" i="8" s="1"/>
  <c r="J794" i="8" s="1"/>
  <c r="S784" i="8"/>
  <c r="S783" i="8"/>
  <c r="S782" i="8"/>
  <c r="S780" i="8"/>
  <c r="S779" i="8"/>
  <c r="S777" i="8"/>
  <c r="S776" i="8"/>
  <c r="S775" i="8"/>
  <c r="S774" i="8"/>
  <c r="S773" i="8"/>
  <c r="S772" i="8"/>
  <c r="S771" i="8"/>
  <c r="S770" i="8"/>
  <c r="E538" i="7"/>
  <c r="D538" i="7"/>
  <c r="H537" i="7"/>
  <c r="D537" i="7"/>
  <c r="S716" i="8"/>
  <c r="S715" i="8"/>
  <c r="S714" i="8"/>
  <c r="S713" i="8"/>
  <c r="S712" i="8"/>
  <c r="S711" i="8"/>
  <c r="S710" i="8"/>
  <c r="S709" i="8"/>
  <c r="S708" i="8"/>
  <c r="S707" i="8"/>
  <c r="S706" i="8"/>
  <c r="S705" i="8"/>
  <c r="S704" i="8"/>
  <c r="S703" i="8"/>
  <c r="S702" i="8"/>
  <c r="M701" i="8"/>
  <c r="L701" i="8"/>
  <c r="I701" i="8"/>
  <c r="I769" i="8" s="1"/>
  <c r="H701" i="8"/>
  <c r="H769" i="8" s="1"/>
  <c r="S698" i="8"/>
  <c r="S697" i="8"/>
  <c r="S696" i="8"/>
  <c r="S695" i="8"/>
  <c r="S694" i="8"/>
  <c r="S693" i="8"/>
  <c r="S692" i="8"/>
  <c r="S691" i="8"/>
  <c r="S690" i="8"/>
  <c r="S689" i="8"/>
  <c r="S688" i="8"/>
  <c r="S687" i="8"/>
  <c r="S686" i="8"/>
  <c r="S685" i="8"/>
  <c r="S684" i="8"/>
  <c r="M683" i="8"/>
  <c r="M699" i="8" s="1"/>
  <c r="G36" i="6" s="1"/>
  <c r="L683" i="8"/>
  <c r="L699" i="8" s="1"/>
  <c r="F36" i="6" s="1"/>
  <c r="I683" i="8"/>
  <c r="I699" i="8" s="1"/>
  <c r="D36" i="6" s="1"/>
  <c r="H683" i="8"/>
  <c r="H699" i="8" s="1"/>
  <c r="S681" i="8"/>
  <c r="Q680" i="8"/>
  <c r="P680" i="8"/>
  <c r="O680" i="8"/>
  <c r="K680" i="8"/>
  <c r="J680" i="8"/>
  <c r="S679" i="8"/>
  <c r="S678" i="8"/>
  <c r="S677" i="8"/>
  <c r="S676" i="8"/>
  <c r="S675" i="8"/>
  <c r="S674" i="8"/>
  <c r="S673" i="8"/>
  <c r="S672" i="8"/>
  <c r="S671" i="8"/>
  <c r="S670" i="8"/>
  <c r="S669" i="8"/>
  <c r="S668" i="8"/>
  <c r="S667" i="8"/>
  <c r="S666" i="8"/>
  <c r="S665" i="8"/>
  <c r="S664" i="8"/>
  <c r="S663" i="8"/>
  <c r="S662" i="8"/>
  <c r="S661" i="8"/>
  <c r="S660" i="8"/>
  <c r="S659" i="8"/>
  <c r="S658" i="8"/>
  <c r="S657" i="8"/>
  <c r="S656" i="8"/>
  <c r="S655" i="8"/>
  <c r="S654" i="8"/>
  <c r="S653" i="8"/>
  <c r="S652" i="8"/>
  <c r="S651" i="8"/>
  <c r="S650" i="8"/>
  <c r="S649" i="8"/>
  <c r="S648" i="8"/>
  <c r="S647" i="8"/>
  <c r="S646" i="8"/>
  <c r="S645" i="8"/>
  <c r="S644" i="8"/>
  <c r="S643" i="8"/>
  <c r="S642" i="8"/>
  <c r="Q641" i="8"/>
  <c r="P641" i="8"/>
  <c r="O641" i="8"/>
  <c r="K641" i="8"/>
  <c r="J641" i="8"/>
  <c r="S640" i="8"/>
  <c r="S639" i="8"/>
  <c r="S638" i="8"/>
  <c r="S637" i="8"/>
  <c r="S636" i="8"/>
  <c r="S635" i="8"/>
  <c r="S634" i="8"/>
  <c r="S633" i="8"/>
  <c r="S632" i="8"/>
  <c r="S631" i="8"/>
  <c r="S630" i="8"/>
  <c r="S629" i="8"/>
  <c r="S628" i="8"/>
  <c r="S627" i="8"/>
  <c r="S626" i="8"/>
  <c r="S625" i="8"/>
  <c r="S624" i="8"/>
  <c r="S623" i="8"/>
  <c r="S622" i="8"/>
  <c r="S617" i="8"/>
  <c r="S616" i="8"/>
  <c r="S615" i="8"/>
  <c r="S614" i="8"/>
  <c r="S613" i="8"/>
  <c r="S612" i="8"/>
  <c r="S611" i="8"/>
  <c r="S610" i="8"/>
  <c r="S609" i="8"/>
  <c r="S608" i="8"/>
  <c r="S607" i="8"/>
  <c r="S606" i="8"/>
  <c r="S605" i="8"/>
  <c r="S604" i="8"/>
  <c r="S603" i="8"/>
  <c r="R599" i="8"/>
  <c r="J599" i="8"/>
  <c r="S599" i="8" s="1"/>
  <c r="R598" i="8"/>
  <c r="J598" i="8"/>
  <c r="S598" i="8" s="1"/>
  <c r="R597" i="8"/>
  <c r="J597" i="8"/>
  <c r="S597" i="8" s="1"/>
  <c r="R596" i="8"/>
  <c r="R595" i="8"/>
  <c r="J595" i="8"/>
  <c r="S595" i="8" s="1"/>
  <c r="R594" i="8"/>
  <c r="J594" i="8"/>
  <c r="S594" i="8" s="1"/>
  <c r="R593" i="8"/>
  <c r="J593" i="8"/>
  <c r="S593" i="8" s="1"/>
  <c r="R592" i="8"/>
  <c r="S592" i="8"/>
  <c r="R591" i="8"/>
  <c r="J591" i="8"/>
  <c r="S591" i="8" s="1"/>
  <c r="R590" i="8"/>
  <c r="J590" i="8"/>
  <c r="S590" i="8" s="1"/>
  <c r="R589" i="8"/>
  <c r="J589" i="8"/>
  <c r="S589" i="8" s="1"/>
  <c r="R588" i="8"/>
  <c r="J588" i="8"/>
  <c r="S588" i="8" s="1"/>
  <c r="R587" i="8"/>
  <c r="J587" i="8"/>
  <c r="S587" i="8" s="1"/>
  <c r="R586" i="8"/>
  <c r="J586" i="8"/>
  <c r="S586" i="8" s="1"/>
  <c r="R585" i="8"/>
  <c r="J585" i="8"/>
  <c r="S585" i="8" s="1"/>
  <c r="I600" i="8"/>
  <c r="S582" i="8"/>
  <c r="S581" i="8"/>
  <c r="S580" i="8"/>
  <c r="S579" i="8"/>
  <c r="S578" i="8"/>
  <c r="Q577" i="8"/>
  <c r="P577" i="8"/>
  <c r="O577" i="8"/>
  <c r="K577" i="8"/>
  <c r="J577" i="8"/>
  <c r="Q576" i="8"/>
  <c r="P576" i="8"/>
  <c r="O576" i="8"/>
  <c r="K576" i="8"/>
  <c r="J576" i="8"/>
  <c r="Q575" i="8"/>
  <c r="P575" i="8"/>
  <c r="O575" i="8"/>
  <c r="K575" i="8"/>
  <c r="J575" i="8"/>
  <c r="Q574" i="8"/>
  <c r="P574" i="8"/>
  <c r="O574" i="8"/>
  <c r="K574" i="8"/>
  <c r="J574" i="8"/>
  <c r="Q573" i="8"/>
  <c r="P573" i="8"/>
  <c r="O573" i="8"/>
  <c r="K573" i="8"/>
  <c r="J573" i="8"/>
  <c r="Q572" i="8"/>
  <c r="P572" i="8"/>
  <c r="O572" i="8"/>
  <c r="K572" i="8"/>
  <c r="J572" i="8"/>
  <c r="Q571" i="8"/>
  <c r="P571" i="8"/>
  <c r="O571" i="8"/>
  <c r="K571" i="8"/>
  <c r="J571" i="8"/>
  <c r="Q570" i="8"/>
  <c r="P570" i="8"/>
  <c r="O570" i="8"/>
  <c r="K570" i="8"/>
  <c r="J570" i="8"/>
  <c r="Q569" i="8"/>
  <c r="P569" i="8"/>
  <c r="O569" i="8"/>
  <c r="K569" i="8"/>
  <c r="J569" i="8"/>
  <c r="Q568" i="8"/>
  <c r="P568" i="8"/>
  <c r="O568" i="8"/>
  <c r="K568" i="8"/>
  <c r="J568" i="8"/>
  <c r="Q567" i="8"/>
  <c r="P567" i="8"/>
  <c r="O567" i="8"/>
  <c r="K567" i="8"/>
  <c r="J567" i="8"/>
  <c r="Q566" i="8"/>
  <c r="P566" i="8"/>
  <c r="O566" i="8"/>
  <c r="K566" i="8"/>
  <c r="J566" i="8"/>
  <c r="Q565" i="8"/>
  <c r="P565" i="8"/>
  <c r="O565" i="8"/>
  <c r="K565" i="8"/>
  <c r="J565" i="8"/>
  <c r="Q564" i="8"/>
  <c r="P564" i="8"/>
  <c r="O564" i="8"/>
  <c r="K564" i="8"/>
  <c r="J564" i="8"/>
  <c r="Q563" i="8"/>
  <c r="P563" i="8"/>
  <c r="O563" i="8"/>
  <c r="K563" i="8"/>
  <c r="J563" i="8"/>
  <c r="Q562" i="8"/>
  <c r="P562" i="8"/>
  <c r="O562" i="8"/>
  <c r="K562" i="8"/>
  <c r="J562" i="8"/>
  <c r="Q561" i="8"/>
  <c r="P561" i="8"/>
  <c r="O561" i="8"/>
  <c r="K561" i="8"/>
  <c r="J561" i="8"/>
  <c r="Q560" i="8"/>
  <c r="P560" i="8"/>
  <c r="O560" i="8"/>
  <c r="K560" i="8"/>
  <c r="J560" i="8"/>
  <c r="Q559" i="8"/>
  <c r="P559" i="8"/>
  <c r="O559" i="8"/>
  <c r="K559" i="8"/>
  <c r="J559" i="8"/>
  <c r="Q558" i="8"/>
  <c r="P558" i="8"/>
  <c r="O558" i="8"/>
  <c r="K558" i="8"/>
  <c r="J558" i="8"/>
  <c r="Q557" i="8"/>
  <c r="P557" i="8"/>
  <c r="O557" i="8"/>
  <c r="K557" i="8"/>
  <c r="J557" i="8"/>
  <c r="Q556" i="8"/>
  <c r="P556" i="8"/>
  <c r="O556" i="8"/>
  <c r="K556" i="8"/>
  <c r="J556" i="8"/>
  <c r="Q555" i="8"/>
  <c r="P555" i="8"/>
  <c r="O555" i="8"/>
  <c r="K555" i="8"/>
  <c r="J555" i="8"/>
  <c r="Q554" i="8"/>
  <c r="P554" i="8"/>
  <c r="O554" i="8"/>
  <c r="K554" i="8"/>
  <c r="J554" i="8"/>
  <c r="Q553" i="8"/>
  <c r="P553" i="8"/>
  <c r="O553" i="8"/>
  <c r="K553" i="8"/>
  <c r="J553" i="8"/>
  <c r="Q552" i="8"/>
  <c r="P552" i="8"/>
  <c r="O552" i="8"/>
  <c r="K552" i="8"/>
  <c r="J552" i="8"/>
  <c r="Q551" i="8"/>
  <c r="P551" i="8"/>
  <c r="O551" i="8"/>
  <c r="K551" i="8"/>
  <c r="J551" i="8"/>
  <c r="Q550" i="8"/>
  <c r="P550" i="8"/>
  <c r="O550" i="8"/>
  <c r="K550" i="8"/>
  <c r="J550" i="8"/>
  <c r="Q549" i="8"/>
  <c r="P549" i="8"/>
  <c r="O549" i="8"/>
  <c r="K549" i="8"/>
  <c r="J549" i="8"/>
  <c r="Q548" i="8"/>
  <c r="P548" i="8"/>
  <c r="O548" i="8"/>
  <c r="K548" i="8"/>
  <c r="J548" i="8"/>
  <c r="Q547" i="8"/>
  <c r="P547" i="8"/>
  <c r="O547" i="8"/>
  <c r="K547" i="8"/>
  <c r="J547" i="8"/>
  <c r="Q546" i="8"/>
  <c r="P546" i="8"/>
  <c r="O546" i="8"/>
  <c r="K546" i="8"/>
  <c r="J546" i="8"/>
  <c r="Q545" i="8"/>
  <c r="P545" i="8"/>
  <c r="O545" i="8"/>
  <c r="K545" i="8"/>
  <c r="J545" i="8"/>
  <c r="Q541" i="8"/>
  <c r="P541" i="8"/>
  <c r="O541" i="8"/>
  <c r="K541" i="8"/>
  <c r="J541" i="8"/>
  <c r="Q540" i="8"/>
  <c r="P540" i="8"/>
  <c r="O540" i="8"/>
  <c r="K540" i="8"/>
  <c r="J540" i="8"/>
  <c r="Q539" i="8"/>
  <c r="P539" i="8"/>
  <c r="O539" i="8"/>
  <c r="K539" i="8"/>
  <c r="J539" i="8"/>
  <c r="Q538" i="8"/>
  <c r="P538" i="8"/>
  <c r="O538" i="8"/>
  <c r="K538" i="8"/>
  <c r="J538" i="8"/>
  <c r="Q537" i="8"/>
  <c r="P537" i="8"/>
  <c r="O537" i="8"/>
  <c r="K537" i="8"/>
  <c r="J537" i="8"/>
  <c r="Q536" i="8"/>
  <c r="P536" i="8"/>
  <c r="O536" i="8"/>
  <c r="K536" i="8"/>
  <c r="W536" i="8" s="1"/>
  <c r="J536" i="8"/>
  <c r="Q535" i="8"/>
  <c r="P535" i="8"/>
  <c r="O535" i="8"/>
  <c r="K535" i="8"/>
  <c r="J535" i="8"/>
  <c r="Q534" i="8"/>
  <c r="P534" i="8"/>
  <c r="O534" i="8"/>
  <c r="K534" i="8"/>
  <c r="J534" i="8"/>
  <c r="Q533" i="8"/>
  <c r="P533" i="8"/>
  <c r="O533" i="8"/>
  <c r="K533" i="8"/>
  <c r="W533" i="8" s="1"/>
  <c r="J533" i="8"/>
  <c r="Q532" i="8"/>
  <c r="P532" i="8"/>
  <c r="O532" i="8"/>
  <c r="K532" i="8"/>
  <c r="J532" i="8"/>
  <c r="Q531" i="8"/>
  <c r="P531" i="8"/>
  <c r="O531" i="8"/>
  <c r="K531" i="8"/>
  <c r="W531" i="8" s="1"/>
  <c r="J531" i="8"/>
  <c r="Q530" i="8"/>
  <c r="P530" i="8"/>
  <c r="O530" i="8"/>
  <c r="K530" i="8"/>
  <c r="J530" i="8"/>
  <c r="Q529" i="8"/>
  <c r="P529" i="8"/>
  <c r="O529" i="8"/>
  <c r="K529" i="8"/>
  <c r="J529" i="8"/>
  <c r="Q528" i="8"/>
  <c r="P528" i="8"/>
  <c r="O528" i="8"/>
  <c r="K528" i="8"/>
  <c r="J528" i="8"/>
  <c r="Q527" i="8"/>
  <c r="P527" i="8"/>
  <c r="O527" i="8"/>
  <c r="K527" i="8"/>
  <c r="J527" i="8"/>
  <c r="Q526" i="8"/>
  <c r="P526" i="8"/>
  <c r="O526" i="8"/>
  <c r="K526" i="8"/>
  <c r="W526" i="8" s="1"/>
  <c r="J526" i="8"/>
  <c r="Q525" i="8"/>
  <c r="P525" i="8"/>
  <c r="O525" i="8"/>
  <c r="K525" i="8"/>
  <c r="J525" i="8"/>
  <c r="Q524" i="8"/>
  <c r="P524" i="8"/>
  <c r="O524" i="8"/>
  <c r="K524" i="8"/>
  <c r="J524" i="8"/>
  <c r="Q523" i="8"/>
  <c r="P523" i="8"/>
  <c r="O523" i="8"/>
  <c r="S473" i="8"/>
  <c r="S472" i="8"/>
  <c r="S471" i="8"/>
  <c r="S470" i="8"/>
  <c r="S469" i="8"/>
  <c r="S468" i="8"/>
  <c r="M440" i="8"/>
  <c r="I440" i="8"/>
  <c r="H440" i="8"/>
  <c r="Q438" i="8"/>
  <c r="P438" i="8"/>
  <c r="O438" i="8"/>
  <c r="O441" i="8" s="1"/>
  <c r="K438" i="8"/>
  <c r="J438" i="8"/>
  <c r="H48" i="7"/>
  <c r="D48" i="7"/>
  <c r="S390" i="8"/>
  <c r="N390" i="8"/>
  <c r="S389" i="8"/>
  <c r="N389" i="8"/>
  <c r="S388" i="8"/>
  <c r="N388" i="8"/>
  <c r="S386" i="8"/>
  <c r="N386" i="8"/>
  <c r="S385" i="8"/>
  <c r="N385" i="8"/>
  <c r="S384" i="8"/>
  <c r="N384" i="8"/>
  <c r="S383" i="8"/>
  <c r="N383" i="8"/>
  <c r="S382" i="8"/>
  <c r="N382" i="8"/>
  <c r="S381" i="8"/>
  <c r="N381" i="8"/>
  <c r="S380" i="8"/>
  <c r="N380" i="8"/>
  <c r="S379" i="8"/>
  <c r="N379" i="8"/>
  <c r="S378" i="8"/>
  <c r="N378" i="8"/>
  <c r="S377" i="8"/>
  <c r="N377" i="8"/>
  <c r="S376" i="8"/>
  <c r="N376" i="8"/>
  <c r="S372" i="8"/>
  <c r="N372" i="8"/>
  <c r="S371" i="8"/>
  <c r="N371" i="8"/>
  <c r="S370" i="8"/>
  <c r="N370" i="8"/>
  <c r="S368" i="8"/>
  <c r="N368" i="8"/>
  <c r="S367" i="8"/>
  <c r="N367" i="8"/>
  <c r="S366" i="8"/>
  <c r="N366" i="8"/>
  <c r="S365" i="8"/>
  <c r="N365" i="8"/>
  <c r="S364" i="8"/>
  <c r="N364" i="8"/>
  <c r="S363" i="8"/>
  <c r="N363" i="8"/>
  <c r="S362" i="8"/>
  <c r="N362" i="8"/>
  <c r="S361" i="8"/>
  <c r="N361" i="8"/>
  <c r="S360" i="8"/>
  <c r="N360" i="8"/>
  <c r="S359" i="8"/>
  <c r="N359" i="8"/>
  <c r="S358" i="8"/>
  <c r="N358" i="8"/>
  <c r="L357" i="8"/>
  <c r="O354" i="8"/>
  <c r="K354" i="8"/>
  <c r="K357" i="8" s="1"/>
  <c r="S345" i="8"/>
  <c r="S344" i="8"/>
  <c r="S343" i="8"/>
  <c r="S342" i="8"/>
  <c r="S341" i="8"/>
  <c r="S340" i="8"/>
  <c r="S339" i="8"/>
  <c r="S338" i="8"/>
  <c r="S337" i="8"/>
  <c r="S336" i="8"/>
  <c r="S335" i="8"/>
  <c r="S334" i="8"/>
  <c r="S333" i="8"/>
  <c r="S332" i="8"/>
  <c r="S331" i="8"/>
  <c r="S326" i="8"/>
  <c r="S325" i="8"/>
  <c r="S324" i="8"/>
  <c r="S323" i="8"/>
  <c r="S322" i="8"/>
  <c r="S321" i="8"/>
  <c r="S320" i="8"/>
  <c r="S319" i="8"/>
  <c r="S318" i="8"/>
  <c r="S317" i="8"/>
  <c r="S316" i="8"/>
  <c r="S315" i="8"/>
  <c r="S314" i="8"/>
  <c r="S313" i="8"/>
  <c r="S312" i="8"/>
  <c r="H533" i="7"/>
  <c r="S293" i="8"/>
  <c r="S292" i="8"/>
  <c r="S291" i="8"/>
  <c r="S290" i="8"/>
  <c r="S289" i="8"/>
  <c r="S288" i="8"/>
  <c r="S287" i="8"/>
  <c r="S286" i="8"/>
  <c r="S285" i="8"/>
  <c r="S284" i="8"/>
  <c r="S283" i="8"/>
  <c r="S282" i="8"/>
  <c r="S281" i="8"/>
  <c r="S280" i="8"/>
  <c r="S279" i="8"/>
  <c r="M278" i="8"/>
  <c r="L278" i="8"/>
  <c r="L307" i="8" s="1"/>
  <c r="I278" i="8"/>
  <c r="H278" i="8"/>
  <c r="S275" i="8"/>
  <c r="S274" i="8"/>
  <c r="S273" i="8"/>
  <c r="S272" i="8"/>
  <c r="S271" i="8"/>
  <c r="S270" i="8"/>
  <c r="S269" i="8"/>
  <c r="S268" i="8"/>
  <c r="S267" i="8"/>
  <c r="S266" i="8"/>
  <c r="S265" i="8"/>
  <c r="S264" i="8"/>
  <c r="S263" i="8"/>
  <c r="S262" i="8"/>
  <c r="S261" i="8"/>
  <c r="M260" i="8"/>
  <c r="L260" i="8"/>
  <c r="I260" i="8"/>
  <c r="I276" i="8" s="1"/>
  <c r="H276" i="8"/>
  <c r="S258" i="8"/>
  <c r="S257" i="8"/>
  <c r="S256" i="8"/>
  <c r="S255" i="8"/>
  <c r="S254" i="8"/>
  <c r="S253" i="8"/>
  <c r="S252" i="8"/>
  <c r="S251" i="8"/>
  <c r="S250" i="8"/>
  <c r="S249" i="8"/>
  <c r="S248" i="8"/>
  <c r="S247" i="8"/>
  <c r="S246" i="8"/>
  <c r="S245" i="8"/>
  <c r="S244" i="8"/>
  <c r="S243" i="8"/>
  <c r="S242" i="8"/>
  <c r="S241" i="8"/>
  <c r="S240" i="8"/>
  <c r="S239" i="8"/>
  <c r="S238" i="8"/>
  <c r="S237" i="8"/>
  <c r="Q236" i="8"/>
  <c r="P236" i="8"/>
  <c r="O236" i="8"/>
  <c r="K236" i="8"/>
  <c r="Q235" i="8"/>
  <c r="P235" i="8"/>
  <c r="O235" i="8"/>
  <c r="K235" i="8"/>
  <c r="Q234" i="8"/>
  <c r="P234" i="8"/>
  <c r="O234" i="8"/>
  <c r="K234" i="8"/>
  <c r="J234" i="8"/>
  <c r="Q233" i="8"/>
  <c r="P233" i="8"/>
  <c r="O233" i="8"/>
  <c r="K233" i="8"/>
  <c r="J233" i="8"/>
  <c r="Q232" i="8"/>
  <c r="P232" i="8"/>
  <c r="O232" i="8"/>
  <c r="K232" i="8"/>
  <c r="J232" i="8"/>
  <c r="Q231" i="8"/>
  <c r="P231" i="8"/>
  <c r="O231" i="8"/>
  <c r="K231" i="8"/>
  <c r="J231" i="8"/>
  <c r="Q230" i="8"/>
  <c r="P230" i="8"/>
  <c r="O230" i="8"/>
  <c r="K230" i="8"/>
  <c r="J230" i="8"/>
  <c r="Q229" i="8"/>
  <c r="P229" i="8"/>
  <c r="O229" i="8"/>
  <c r="K229" i="8"/>
  <c r="J229" i="8"/>
  <c r="Q228" i="8"/>
  <c r="P228" i="8"/>
  <c r="O228" i="8"/>
  <c r="K228" i="8"/>
  <c r="J228" i="8"/>
  <c r="Q227" i="8"/>
  <c r="P227" i="8"/>
  <c r="O227" i="8"/>
  <c r="K227" i="8"/>
  <c r="J227" i="8"/>
  <c r="Q226" i="8"/>
  <c r="P226" i="8"/>
  <c r="O226" i="8"/>
  <c r="K226" i="8"/>
  <c r="J226" i="8"/>
  <c r="Q225" i="8"/>
  <c r="P225" i="8"/>
  <c r="O225" i="8"/>
  <c r="K225" i="8"/>
  <c r="J225" i="8"/>
  <c r="Q224" i="8"/>
  <c r="P224" i="8"/>
  <c r="O224" i="8"/>
  <c r="K224" i="8"/>
  <c r="J224" i="8"/>
  <c r="Q223" i="8"/>
  <c r="P223" i="8"/>
  <c r="O223" i="8"/>
  <c r="K223" i="8"/>
  <c r="J223" i="8"/>
  <c r="Q222" i="8"/>
  <c r="P222" i="8"/>
  <c r="O222" i="8"/>
  <c r="K222" i="8"/>
  <c r="J222" i="8"/>
  <c r="Q221" i="8"/>
  <c r="P221" i="8"/>
  <c r="O221" i="8"/>
  <c r="K221" i="8"/>
  <c r="J221" i="8"/>
  <c r="Q220" i="8"/>
  <c r="P220" i="8"/>
  <c r="O220" i="8"/>
  <c r="K220" i="8"/>
  <c r="J220" i="8"/>
  <c r="Q219" i="8"/>
  <c r="P219" i="8"/>
  <c r="O219" i="8"/>
  <c r="K219" i="8"/>
  <c r="J219" i="8"/>
  <c r="Q218" i="8"/>
  <c r="P218" i="8"/>
  <c r="O218" i="8"/>
  <c r="K218" i="8"/>
  <c r="J218" i="8"/>
  <c r="Q217" i="8"/>
  <c r="P217" i="8"/>
  <c r="O217" i="8"/>
  <c r="K217" i="8"/>
  <c r="J217" i="8"/>
  <c r="Q216" i="8"/>
  <c r="P216" i="8"/>
  <c r="O216" i="8"/>
  <c r="K216" i="8"/>
  <c r="J216" i="8"/>
  <c r="Q215" i="8"/>
  <c r="P215" i="8"/>
  <c r="O215" i="8"/>
  <c r="K215" i="8"/>
  <c r="J215" i="8"/>
  <c r="Q214" i="8"/>
  <c r="P214" i="8"/>
  <c r="O214" i="8"/>
  <c r="K214" i="8"/>
  <c r="J214" i="8"/>
  <c r="Q213" i="8"/>
  <c r="P213" i="8"/>
  <c r="O213" i="8"/>
  <c r="K213" i="8"/>
  <c r="J213" i="8"/>
  <c r="Q212" i="8"/>
  <c r="P212" i="8"/>
  <c r="O212" i="8"/>
  <c r="K212" i="8"/>
  <c r="J212" i="8"/>
  <c r="Q211" i="8"/>
  <c r="P211" i="8"/>
  <c r="O211" i="8"/>
  <c r="K211" i="8"/>
  <c r="J211" i="8"/>
  <c r="Q210" i="8"/>
  <c r="P210" i="8"/>
  <c r="O210" i="8"/>
  <c r="K210" i="8"/>
  <c r="Q209" i="8"/>
  <c r="P209" i="8"/>
  <c r="O209" i="8"/>
  <c r="K209" i="8"/>
  <c r="Q208" i="8"/>
  <c r="P208" i="8"/>
  <c r="O208" i="8"/>
  <c r="K208" i="8"/>
  <c r="J208" i="8"/>
  <c r="Q207" i="8"/>
  <c r="P207" i="8"/>
  <c r="O207" i="8"/>
  <c r="K207" i="8"/>
  <c r="J207" i="8"/>
  <c r="Q206" i="8"/>
  <c r="P206" i="8"/>
  <c r="O206" i="8"/>
  <c r="K206" i="8"/>
  <c r="J206" i="8"/>
  <c r="Q205" i="8"/>
  <c r="P205" i="8"/>
  <c r="O205" i="8"/>
  <c r="K205" i="8"/>
  <c r="J205" i="8"/>
  <c r="Q204" i="8"/>
  <c r="P204" i="8"/>
  <c r="O204" i="8"/>
  <c r="K204" i="8"/>
  <c r="S203" i="8"/>
  <c r="Q202" i="8"/>
  <c r="P202" i="8"/>
  <c r="O202" i="8"/>
  <c r="K202" i="8"/>
  <c r="J202" i="8"/>
  <c r="Q201" i="8"/>
  <c r="P201" i="8"/>
  <c r="O201" i="8"/>
  <c r="K201" i="8"/>
  <c r="J201" i="8"/>
  <c r="S193" i="8"/>
  <c r="S192" i="8"/>
  <c r="S191" i="8"/>
  <c r="S190" i="8"/>
  <c r="S189" i="8"/>
  <c r="S188" i="8"/>
  <c r="S187" i="8"/>
  <c r="S186" i="8"/>
  <c r="S185" i="8"/>
  <c r="S184" i="8"/>
  <c r="S183" i="8"/>
  <c r="S182" i="8"/>
  <c r="S181" i="8"/>
  <c r="S180" i="8"/>
  <c r="S179" i="8"/>
  <c r="S173" i="8"/>
  <c r="S172" i="8"/>
  <c r="S171" i="8"/>
  <c r="S170" i="8"/>
  <c r="S169" i="8"/>
  <c r="S168" i="8"/>
  <c r="S167" i="8"/>
  <c r="S166" i="8"/>
  <c r="S133" i="8"/>
  <c r="S132" i="8"/>
  <c r="S131" i="8"/>
  <c r="S130" i="8"/>
  <c r="S129" i="8"/>
  <c r="S128" i="8"/>
  <c r="S127" i="8"/>
  <c r="S126" i="8"/>
  <c r="S125" i="8"/>
  <c r="S124" i="8"/>
  <c r="S123" i="8"/>
  <c r="S122" i="8"/>
  <c r="L121" i="8"/>
  <c r="S121" i="8" s="1"/>
  <c r="S120" i="8"/>
  <c r="S119" i="8"/>
  <c r="Q154" i="8"/>
  <c r="M114" i="8"/>
  <c r="L114" i="8"/>
  <c r="R113" i="8"/>
  <c r="J113" i="8"/>
  <c r="S113" i="8" s="1"/>
  <c r="R112" i="8"/>
  <c r="J112" i="8"/>
  <c r="S112" i="8" s="1"/>
  <c r="R111" i="8"/>
  <c r="J111" i="8"/>
  <c r="S111" i="8" s="1"/>
  <c r="R110" i="8"/>
  <c r="J110" i="8"/>
  <c r="S110" i="8" s="1"/>
  <c r="R109" i="8"/>
  <c r="J109" i="8"/>
  <c r="S109" i="8" s="1"/>
  <c r="R108" i="8"/>
  <c r="J108" i="8"/>
  <c r="S108" i="8" s="1"/>
  <c r="R107" i="8"/>
  <c r="J107" i="8"/>
  <c r="S107" i="8" s="1"/>
  <c r="R106" i="8"/>
  <c r="J106" i="8"/>
  <c r="S106" i="8" s="1"/>
  <c r="R105" i="8"/>
  <c r="J105" i="8"/>
  <c r="S105" i="8" s="1"/>
  <c r="R104" i="8"/>
  <c r="J104" i="8"/>
  <c r="S104" i="8" s="1"/>
  <c r="R103" i="8"/>
  <c r="J103" i="8"/>
  <c r="S103" i="8" s="1"/>
  <c r="R102" i="8"/>
  <c r="J102" i="8"/>
  <c r="S102" i="8" s="1"/>
  <c r="R101" i="8"/>
  <c r="J101" i="8"/>
  <c r="S101" i="8" s="1"/>
  <c r="R100" i="8"/>
  <c r="J100" i="8"/>
  <c r="S100" i="8" s="1"/>
  <c r="R99" i="8"/>
  <c r="J99" i="8"/>
  <c r="S99" i="8" s="1"/>
  <c r="M98" i="8"/>
  <c r="L98" i="8"/>
  <c r="L118" i="8" s="1"/>
  <c r="L178" i="8" s="1"/>
  <c r="I98" i="8"/>
  <c r="H98" i="8"/>
  <c r="H118" i="8" s="1"/>
  <c r="M96" i="8"/>
  <c r="L96" i="8"/>
  <c r="S95" i="8"/>
  <c r="S94" i="8"/>
  <c r="S93" i="8"/>
  <c r="S92" i="8"/>
  <c r="S91" i="8"/>
  <c r="S90" i="8"/>
  <c r="S89" i="8"/>
  <c r="S88" i="8"/>
  <c r="S87" i="8"/>
  <c r="S86" i="8"/>
  <c r="S85" i="8"/>
  <c r="S84" i="8"/>
  <c r="S83" i="8"/>
  <c r="S82" i="8"/>
  <c r="S81" i="8"/>
  <c r="O80" i="8"/>
  <c r="O96" i="8" s="1"/>
  <c r="I96" i="8"/>
  <c r="H96" i="8"/>
  <c r="S78" i="8"/>
  <c r="S77" i="8"/>
  <c r="S76" i="8"/>
  <c r="S75" i="8"/>
  <c r="S74" i="8"/>
  <c r="S73" i="8"/>
  <c r="S72" i="8"/>
  <c r="S71" i="8"/>
  <c r="S70" i="8"/>
  <c r="S69" i="8"/>
  <c r="S68" i="8"/>
  <c r="S67" i="8"/>
  <c r="S66" i="8"/>
  <c r="S65" i="8"/>
  <c r="S64" i="8"/>
  <c r="S63" i="8"/>
  <c r="S62" i="8"/>
  <c r="S61" i="8"/>
  <c r="S60" i="8"/>
  <c r="S59" i="8"/>
  <c r="S58" i="8"/>
  <c r="S57" i="8"/>
  <c r="S56" i="8"/>
  <c r="S55" i="8"/>
  <c r="Q54" i="8"/>
  <c r="P54" i="8"/>
  <c r="O54" i="8"/>
  <c r="K54" i="8"/>
  <c r="Q53" i="8"/>
  <c r="P53" i="8"/>
  <c r="O53" i="8"/>
  <c r="K53" i="8"/>
  <c r="J53" i="8"/>
  <c r="Q52" i="8"/>
  <c r="P52" i="8"/>
  <c r="O52" i="8"/>
  <c r="K52" i="8"/>
  <c r="J52" i="8"/>
  <c r="Q51" i="8"/>
  <c r="P51" i="8"/>
  <c r="O51" i="8"/>
  <c r="K51" i="8"/>
  <c r="J51" i="8"/>
  <c r="Q50" i="8"/>
  <c r="P50" i="8"/>
  <c r="O50" i="8"/>
  <c r="K50" i="8"/>
  <c r="J50" i="8"/>
  <c r="Q49" i="8"/>
  <c r="P49" i="8"/>
  <c r="O49" i="8"/>
  <c r="K49" i="8"/>
  <c r="J49" i="8"/>
  <c r="Q48" i="8"/>
  <c r="P48" i="8"/>
  <c r="O48" i="8"/>
  <c r="K48" i="8"/>
  <c r="J48" i="8"/>
  <c r="Q47" i="8"/>
  <c r="P47" i="8"/>
  <c r="O47" i="8"/>
  <c r="K47" i="8"/>
  <c r="J47" i="8"/>
  <c r="Q46" i="8"/>
  <c r="P46" i="8"/>
  <c r="O46" i="8"/>
  <c r="K46" i="8"/>
  <c r="J46" i="8"/>
  <c r="Q45" i="8"/>
  <c r="P45" i="8"/>
  <c r="O45" i="8"/>
  <c r="K45" i="8"/>
  <c r="J45" i="8"/>
  <c r="Q44" i="8"/>
  <c r="P44" i="8"/>
  <c r="O44" i="8"/>
  <c r="K44" i="8"/>
  <c r="J44" i="8"/>
  <c r="Q43" i="8"/>
  <c r="P43" i="8"/>
  <c r="O43" i="8"/>
  <c r="K43" i="8"/>
  <c r="J43" i="8"/>
  <c r="Q42" i="8"/>
  <c r="P42" i="8"/>
  <c r="O42" i="8"/>
  <c r="K42" i="8"/>
  <c r="J42" i="8"/>
  <c r="Q41" i="8"/>
  <c r="P41" i="8"/>
  <c r="O41" i="8"/>
  <c r="K41" i="8"/>
  <c r="J41" i="8"/>
  <c r="Q40" i="8"/>
  <c r="P40" i="8"/>
  <c r="O40" i="8"/>
  <c r="K40" i="8"/>
  <c r="J40" i="8"/>
  <c r="Q39" i="8"/>
  <c r="P39" i="8"/>
  <c r="O39" i="8"/>
  <c r="K39" i="8"/>
  <c r="J39" i="8"/>
  <c r="Q38" i="8"/>
  <c r="P38" i="8"/>
  <c r="O38" i="8"/>
  <c r="K38" i="8"/>
  <c r="J38" i="8"/>
  <c r="Q37" i="8"/>
  <c r="P37" i="8"/>
  <c r="O37" i="8"/>
  <c r="K37" i="8"/>
  <c r="J37" i="8"/>
  <c r="Q36" i="8"/>
  <c r="P36" i="8"/>
  <c r="O36" i="8"/>
  <c r="K36" i="8"/>
  <c r="J36" i="8"/>
  <c r="Q35" i="8"/>
  <c r="P35" i="8"/>
  <c r="O35" i="8"/>
  <c r="K35" i="8"/>
  <c r="J35" i="8"/>
  <c r="Q34" i="8"/>
  <c r="P34" i="8"/>
  <c r="O34" i="8"/>
  <c r="K34" i="8"/>
  <c r="J34" i="8"/>
  <c r="Q33" i="8"/>
  <c r="P33" i="8"/>
  <c r="O33" i="8"/>
  <c r="K33" i="8"/>
  <c r="J33" i="8"/>
  <c r="Q32" i="8"/>
  <c r="P32" i="8"/>
  <c r="O32" i="8"/>
  <c r="K32" i="8"/>
  <c r="J32" i="8"/>
  <c r="Q31" i="8"/>
  <c r="P31" i="8"/>
  <c r="O31" i="8"/>
  <c r="K31" i="8"/>
  <c r="Q30" i="8"/>
  <c r="P30" i="8"/>
  <c r="O30" i="8"/>
  <c r="K30" i="8"/>
  <c r="J30" i="8"/>
  <c r="Q29" i="8"/>
  <c r="P29" i="8"/>
  <c r="O29" i="8"/>
  <c r="Q28" i="8"/>
  <c r="P28" i="8"/>
  <c r="O28" i="8"/>
  <c r="K28" i="8"/>
  <c r="Q27" i="8"/>
  <c r="P27" i="8"/>
  <c r="O27" i="8"/>
  <c r="K27" i="8"/>
  <c r="Q26" i="8"/>
  <c r="P26" i="8"/>
  <c r="O26" i="8"/>
  <c r="Q25" i="8"/>
  <c r="P25" i="8"/>
  <c r="O25" i="8"/>
  <c r="K25" i="8"/>
  <c r="J25" i="8"/>
  <c r="Q24" i="8"/>
  <c r="P24" i="8"/>
  <c r="O24" i="8"/>
  <c r="K24" i="8"/>
  <c r="J24" i="8"/>
  <c r="Q23" i="8"/>
  <c r="P23" i="8"/>
  <c r="O23" i="8"/>
  <c r="K23" i="8"/>
  <c r="J23" i="8"/>
  <c r="Q22" i="8"/>
  <c r="P22" i="8"/>
  <c r="O22" i="8"/>
  <c r="K22" i="8"/>
  <c r="J22" i="8"/>
  <c r="Q21" i="8"/>
  <c r="P21" i="8"/>
  <c r="O21" i="8"/>
  <c r="K21" i="8"/>
  <c r="J21" i="8"/>
  <c r="Q20" i="8"/>
  <c r="P20" i="8"/>
  <c r="O20" i="8"/>
  <c r="K20" i="8"/>
  <c r="J20" i="8"/>
  <c r="F145" i="6"/>
  <c r="D145" i="6"/>
  <c r="J145" i="6" s="1"/>
  <c r="C145" i="6"/>
  <c r="F144" i="6"/>
  <c r="D144" i="6"/>
  <c r="J144" i="6" s="1"/>
  <c r="C144" i="6"/>
  <c r="F143" i="6"/>
  <c r="D143" i="6"/>
  <c r="J143" i="6" s="1"/>
  <c r="C143" i="6"/>
  <c r="F142" i="6"/>
  <c r="D142" i="6"/>
  <c r="J142" i="6" s="1"/>
  <c r="C142" i="6"/>
  <c r="F141" i="6"/>
  <c r="D141" i="6"/>
  <c r="J141" i="6" s="1"/>
  <c r="C141" i="6"/>
  <c r="F140" i="6"/>
  <c r="D140" i="6"/>
  <c r="J140" i="6" s="1"/>
  <c r="C140" i="6"/>
  <c r="F139" i="6"/>
  <c r="D139" i="6"/>
  <c r="J139" i="6" s="1"/>
  <c r="C139" i="6"/>
  <c r="F138" i="6"/>
  <c r="D138" i="6"/>
  <c r="J138" i="6" s="1"/>
  <c r="C138" i="6"/>
  <c r="F137" i="6"/>
  <c r="D137" i="6"/>
  <c r="J137" i="6" s="1"/>
  <c r="C137" i="6"/>
  <c r="F136" i="6"/>
  <c r="D136" i="6"/>
  <c r="J136" i="6" s="1"/>
  <c r="C136" i="6"/>
  <c r="F135" i="6"/>
  <c r="D135" i="6"/>
  <c r="J135" i="6" s="1"/>
  <c r="C135" i="6"/>
  <c r="F134" i="6"/>
  <c r="D134" i="6"/>
  <c r="J134" i="6" s="1"/>
  <c r="C134" i="6"/>
  <c r="F133" i="6"/>
  <c r="D133" i="6"/>
  <c r="J133" i="6" s="1"/>
  <c r="C133" i="6"/>
  <c r="F131" i="6"/>
  <c r="D131" i="6"/>
  <c r="J131" i="6" s="1"/>
  <c r="C131" i="6"/>
  <c r="F130" i="6"/>
  <c r="D130" i="6"/>
  <c r="J130" i="6" s="1"/>
  <c r="C130" i="6"/>
  <c r="F129" i="6"/>
  <c r="D129" i="6"/>
  <c r="J129" i="6" s="1"/>
  <c r="C129" i="6"/>
  <c r="F128" i="6"/>
  <c r="D128" i="6"/>
  <c r="J128" i="6" s="1"/>
  <c r="C128" i="6"/>
  <c r="F127" i="6"/>
  <c r="D127" i="6"/>
  <c r="D125" i="6"/>
  <c r="C125" i="6"/>
  <c r="F123" i="6"/>
  <c r="C123" i="6"/>
  <c r="F122" i="6"/>
  <c r="C122" i="6"/>
  <c r="F121" i="6"/>
  <c r="C121" i="6"/>
  <c r="F118" i="6"/>
  <c r="C118" i="6"/>
  <c r="F115" i="6"/>
  <c r="C115" i="6"/>
  <c r="F114" i="6"/>
  <c r="C114" i="6"/>
  <c r="F113" i="6"/>
  <c r="C113" i="6"/>
  <c r="F112" i="6"/>
  <c r="C112" i="6"/>
  <c r="F111" i="6"/>
  <c r="C111" i="6"/>
  <c r="F110" i="6"/>
  <c r="C110" i="6"/>
  <c r="F109" i="6"/>
  <c r="C109" i="6"/>
  <c r="F108" i="6"/>
  <c r="C108" i="6"/>
  <c r="F107" i="6"/>
  <c r="C107" i="6"/>
  <c r="F106" i="6"/>
  <c r="C106" i="6"/>
  <c r="F105" i="6"/>
  <c r="C105" i="6"/>
  <c r="F104" i="6"/>
  <c r="C104" i="6"/>
  <c r="F103" i="6"/>
  <c r="C103" i="6"/>
  <c r="F102" i="6"/>
  <c r="C102" i="6"/>
  <c r="F101" i="6"/>
  <c r="C101" i="6"/>
  <c r="F100" i="6"/>
  <c r="C100" i="6"/>
  <c r="J97" i="6"/>
  <c r="F97" i="6"/>
  <c r="C97" i="6"/>
  <c r="J96" i="6"/>
  <c r="F95" i="6"/>
  <c r="J93" i="6"/>
  <c r="F93" i="6"/>
  <c r="C93" i="6"/>
  <c r="F91" i="6"/>
  <c r="C91" i="6"/>
  <c r="J90" i="6"/>
  <c r="F90" i="6"/>
  <c r="C90" i="6"/>
  <c r="J89" i="6"/>
  <c r="F89" i="6"/>
  <c r="C89" i="6"/>
  <c r="J88" i="6"/>
  <c r="F88" i="6"/>
  <c r="C88" i="6"/>
  <c r="J87" i="6"/>
  <c r="F87" i="6"/>
  <c r="C87" i="6"/>
  <c r="J84" i="6"/>
  <c r="F84" i="6"/>
  <c r="C84" i="6"/>
  <c r="J83" i="6"/>
  <c r="F83" i="6"/>
  <c r="C83" i="6"/>
  <c r="J82" i="6"/>
  <c r="F82" i="6"/>
  <c r="C82" i="6"/>
  <c r="J81" i="6"/>
  <c r="F81" i="6"/>
  <c r="C81" i="6"/>
  <c r="J80" i="6"/>
  <c r="F80" i="6"/>
  <c r="C80" i="6"/>
  <c r="J79" i="6"/>
  <c r="F79" i="6"/>
  <c r="C79" i="6"/>
  <c r="J78" i="6"/>
  <c r="F78" i="6"/>
  <c r="C78" i="6"/>
  <c r="J77" i="6"/>
  <c r="F77" i="6"/>
  <c r="C77" i="6"/>
  <c r="J76" i="6"/>
  <c r="F76" i="6"/>
  <c r="C76" i="6"/>
  <c r="J75" i="6"/>
  <c r="F75" i="6"/>
  <c r="C75" i="6"/>
  <c r="J74" i="6"/>
  <c r="F74" i="6"/>
  <c r="J73" i="6"/>
  <c r="F73" i="6"/>
  <c r="C73" i="6"/>
  <c r="J72" i="6"/>
  <c r="F72" i="6"/>
  <c r="C72" i="6"/>
  <c r="J71" i="6"/>
  <c r="F71" i="6"/>
  <c r="C71" i="6"/>
  <c r="J70" i="6"/>
  <c r="F70" i="6"/>
  <c r="C70" i="6"/>
  <c r="J69" i="6"/>
  <c r="F69" i="6"/>
  <c r="C69" i="6"/>
  <c r="J68" i="6"/>
  <c r="F68" i="6"/>
  <c r="C68" i="6"/>
  <c r="J67" i="6"/>
  <c r="F67" i="6"/>
  <c r="C67" i="6"/>
  <c r="J66" i="6"/>
  <c r="F66" i="6"/>
  <c r="C66" i="6"/>
  <c r="F65" i="6"/>
  <c r="C65" i="6"/>
  <c r="J64" i="6"/>
  <c r="F64" i="6"/>
  <c r="C64" i="6"/>
  <c r="J63" i="6"/>
  <c r="F63" i="6"/>
  <c r="C63" i="6"/>
  <c r="J62" i="6"/>
  <c r="F62" i="6"/>
  <c r="C62" i="6"/>
  <c r="J61" i="6"/>
  <c r="F61" i="6"/>
  <c r="C61" i="6"/>
  <c r="J60" i="6"/>
  <c r="F60" i="6"/>
  <c r="C60" i="6"/>
  <c r="J59" i="6"/>
  <c r="F59" i="6"/>
  <c r="C59" i="6"/>
  <c r="J58" i="6"/>
  <c r="F58" i="6"/>
  <c r="C58" i="6"/>
  <c r="J57" i="6"/>
  <c r="F57" i="6"/>
  <c r="C57" i="6"/>
  <c r="J56" i="6"/>
  <c r="F56" i="6"/>
  <c r="C56" i="6"/>
  <c r="J55" i="6"/>
  <c r="F55" i="6"/>
  <c r="C55" i="6"/>
  <c r="J54" i="6"/>
  <c r="F54" i="6"/>
  <c r="C54" i="6"/>
  <c r="J53" i="6"/>
  <c r="F53" i="6"/>
  <c r="C53" i="6"/>
  <c r="J52" i="6"/>
  <c r="F52" i="6"/>
  <c r="C52" i="6"/>
  <c r="J51" i="6"/>
  <c r="F51" i="6"/>
  <c r="C51" i="6"/>
  <c r="J50" i="6"/>
  <c r="F50" i="6"/>
  <c r="C50" i="6"/>
  <c r="D49" i="6"/>
  <c r="J49" i="6" s="1"/>
  <c r="K48" i="6"/>
  <c r="J48" i="6"/>
  <c r="F48" i="6"/>
  <c r="C48" i="6"/>
  <c r="K47" i="6"/>
  <c r="F47" i="6"/>
  <c r="C47" i="6"/>
  <c r="K46" i="6"/>
  <c r="J46" i="6"/>
  <c r="F46" i="6"/>
  <c r="C46" i="6"/>
  <c r="G45" i="6"/>
  <c r="F44" i="6"/>
  <c r="F43" i="6"/>
  <c r="C43" i="6"/>
  <c r="F42" i="6"/>
  <c r="C42" i="6"/>
  <c r="F41" i="6"/>
  <c r="C41" i="6"/>
  <c r="F40" i="6"/>
  <c r="C40" i="6"/>
  <c r="F39" i="6"/>
  <c r="C39" i="6"/>
  <c r="K37" i="6"/>
  <c r="G37" i="6"/>
  <c r="F37" i="6"/>
  <c r="D37" i="6"/>
  <c r="C37" i="6"/>
  <c r="K36" i="6"/>
  <c r="G35" i="6"/>
  <c r="F35" i="6"/>
  <c r="K34" i="6"/>
  <c r="G34" i="6"/>
  <c r="F34" i="6"/>
  <c r="D34" i="6"/>
  <c r="C34" i="6"/>
  <c r="K33" i="6"/>
  <c r="G33" i="6"/>
  <c r="F33" i="6"/>
  <c r="D33" i="6"/>
  <c r="C33" i="6"/>
  <c r="K32" i="6"/>
  <c r="G32" i="6"/>
  <c r="F32" i="6"/>
  <c r="C32" i="6"/>
  <c r="K31" i="6"/>
  <c r="G31" i="6"/>
  <c r="F31" i="6"/>
  <c r="D31" i="6"/>
  <c r="C31" i="6"/>
  <c r="K30" i="6"/>
  <c r="G30" i="6"/>
  <c r="F30" i="6"/>
  <c r="D30" i="6"/>
  <c r="C30" i="6"/>
  <c r="G28" i="6"/>
  <c r="F28" i="6"/>
  <c r="D28" i="6"/>
  <c r="C28" i="6"/>
  <c r="G27" i="6"/>
  <c r="F27" i="6"/>
  <c r="D27" i="6"/>
  <c r="C27" i="6"/>
  <c r="G26" i="6"/>
  <c r="F26" i="6"/>
  <c r="D26" i="6"/>
  <c r="C26" i="6"/>
  <c r="G25" i="6"/>
  <c r="F25" i="6"/>
  <c r="D25" i="6"/>
  <c r="C25" i="6"/>
  <c r="G24" i="6"/>
  <c r="F24" i="6"/>
  <c r="D24" i="6"/>
  <c r="C24" i="6"/>
  <c r="G23" i="6"/>
  <c r="F23" i="6"/>
  <c r="D23" i="6"/>
  <c r="C23" i="6"/>
  <c r="G20" i="6"/>
  <c r="F20" i="6"/>
  <c r="D20" i="6"/>
  <c r="C20" i="6"/>
  <c r="G19" i="6"/>
  <c r="F19" i="6"/>
  <c r="D19" i="6"/>
  <c r="C19" i="6"/>
  <c r="G18" i="6"/>
  <c r="F18" i="6"/>
  <c r="D18" i="6"/>
  <c r="G17" i="6"/>
  <c r="F17" i="6"/>
  <c r="D17" i="6"/>
  <c r="C17" i="6"/>
  <c r="G16" i="6"/>
  <c r="F16" i="6"/>
  <c r="D16" i="6"/>
  <c r="C16" i="6"/>
  <c r="G15" i="6"/>
  <c r="F15" i="6"/>
  <c r="D15" i="6"/>
  <c r="C15" i="6"/>
  <c r="G14" i="6"/>
  <c r="F14" i="6"/>
  <c r="D14" i="6"/>
  <c r="C14" i="6"/>
  <c r="G13" i="6"/>
  <c r="F13" i="6"/>
  <c r="D13" i="6"/>
  <c r="C13" i="6"/>
  <c r="G12" i="6"/>
  <c r="F12" i="6"/>
  <c r="D12" i="6"/>
  <c r="C12" i="6"/>
  <c r="G603" i="7"/>
  <c r="D603" i="7"/>
  <c r="C603" i="7"/>
  <c r="G602" i="7"/>
  <c r="D602" i="7"/>
  <c r="C602" i="7"/>
  <c r="G601" i="7"/>
  <c r="D601" i="7"/>
  <c r="C601" i="7"/>
  <c r="G600" i="7"/>
  <c r="D600" i="7"/>
  <c r="C600" i="7"/>
  <c r="G599" i="7"/>
  <c r="D599" i="7"/>
  <c r="C599" i="7"/>
  <c r="G598" i="7"/>
  <c r="D598" i="7"/>
  <c r="C598" i="7"/>
  <c r="G597" i="7"/>
  <c r="D597" i="7"/>
  <c r="C597" i="7"/>
  <c r="G596" i="7"/>
  <c r="D596" i="7"/>
  <c r="C596" i="7"/>
  <c r="G595" i="7"/>
  <c r="D595" i="7"/>
  <c r="C595" i="7"/>
  <c r="G594" i="7"/>
  <c r="D594" i="7"/>
  <c r="C594" i="7"/>
  <c r="G593" i="7"/>
  <c r="D593" i="7"/>
  <c r="C593" i="7"/>
  <c r="G592" i="7"/>
  <c r="D592" i="7"/>
  <c r="C592" i="7"/>
  <c r="G591" i="7"/>
  <c r="D591" i="7"/>
  <c r="C591" i="7"/>
  <c r="G590" i="7"/>
  <c r="D590" i="7"/>
  <c r="C590" i="7"/>
  <c r="G589" i="7"/>
  <c r="D589" i="7"/>
  <c r="C589" i="7"/>
  <c r="G588" i="7"/>
  <c r="D588" i="7"/>
  <c r="C588" i="7"/>
  <c r="G587" i="7"/>
  <c r="D587" i="7"/>
  <c r="C587" i="7"/>
  <c r="G586" i="7"/>
  <c r="D586" i="7"/>
  <c r="C586" i="7"/>
  <c r="G585" i="7"/>
  <c r="D585" i="7"/>
  <c r="C585" i="7"/>
  <c r="G584" i="7"/>
  <c r="D584" i="7"/>
  <c r="C584" i="7"/>
  <c r="G583" i="7"/>
  <c r="D583" i="7"/>
  <c r="C583" i="7"/>
  <c r="G582" i="7"/>
  <c r="D582" i="7"/>
  <c r="C582" i="7"/>
  <c r="G581" i="7"/>
  <c r="D581" i="7"/>
  <c r="C581" i="7"/>
  <c r="G580" i="7"/>
  <c r="D580" i="7"/>
  <c r="C580" i="7"/>
  <c r="G579" i="7"/>
  <c r="D579" i="7"/>
  <c r="C579" i="7"/>
  <c r="G578" i="7"/>
  <c r="D578" i="7"/>
  <c r="C578" i="7"/>
  <c r="G577" i="7"/>
  <c r="D577" i="7"/>
  <c r="C577" i="7"/>
  <c r="G576" i="7"/>
  <c r="D576" i="7"/>
  <c r="C576" i="7"/>
  <c r="G575" i="7"/>
  <c r="D575" i="7"/>
  <c r="C575" i="7"/>
  <c r="G574" i="7"/>
  <c r="D574" i="7"/>
  <c r="C574" i="7"/>
  <c r="G573" i="7"/>
  <c r="D573" i="7"/>
  <c r="C573" i="7"/>
  <c r="G572" i="7"/>
  <c r="D572" i="7"/>
  <c r="C572" i="7"/>
  <c r="G571" i="7"/>
  <c r="D571" i="7"/>
  <c r="C571" i="7"/>
  <c r="G570" i="7"/>
  <c r="D570" i="7"/>
  <c r="C570" i="7"/>
  <c r="G569" i="7"/>
  <c r="D569" i="7"/>
  <c r="C569" i="7"/>
  <c r="G568" i="7"/>
  <c r="D568" i="7"/>
  <c r="C568" i="7"/>
  <c r="G567" i="7"/>
  <c r="D567" i="7"/>
  <c r="C567" i="7"/>
  <c r="G566" i="7"/>
  <c r="D566" i="7"/>
  <c r="C566" i="7"/>
  <c r="G565" i="7"/>
  <c r="D565" i="7"/>
  <c r="C565" i="7"/>
  <c r="G564" i="7"/>
  <c r="D564" i="7"/>
  <c r="C564" i="7"/>
  <c r="G563" i="7"/>
  <c r="D563" i="7"/>
  <c r="C563" i="7"/>
  <c r="G562" i="7"/>
  <c r="D562" i="7"/>
  <c r="C562" i="7"/>
  <c r="G561" i="7"/>
  <c r="D561" i="7"/>
  <c r="C561" i="7"/>
  <c r="G560" i="7"/>
  <c r="D560" i="7"/>
  <c r="C560" i="7"/>
  <c r="G559" i="7"/>
  <c r="D559" i="7"/>
  <c r="C559" i="7"/>
  <c r="G558" i="7"/>
  <c r="D558" i="7"/>
  <c r="C558" i="7"/>
  <c r="G557" i="7"/>
  <c r="D557" i="7"/>
  <c r="C557" i="7"/>
  <c r="G556" i="7"/>
  <c r="D556" i="7"/>
  <c r="C556" i="7"/>
  <c r="G555" i="7"/>
  <c r="D555" i="7"/>
  <c r="C555" i="7"/>
  <c r="G554" i="7"/>
  <c r="D554" i="7"/>
  <c r="C554" i="7"/>
  <c r="G553" i="7"/>
  <c r="D553" i="7"/>
  <c r="C553" i="7"/>
  <c r="G552" i="7"/>
  <c r="D552" i="7"/>
  <c r="C552" i="7"/>
  <c r="G551" i="7"/>
  <c r="D551" i="7"/>
  <c r="C551" i="7"/>
  <c r="G550" i="7"/>
  <c r="D550" i="7"/>
  <c r="C550" i="7"/>
  <c r="G549" i="7"/>
  <c r="D549" i="7"/>
  <c r="C549" i="7"/>
  <c r="G548" i="7"/>
  <c r="D548" i="7"/>
  <c r="C548" i="7"/>
  <c r="G547" i="7"/>
  <c r="D547" i="7"/>
  <c r="C547" i="7"/>
  <c r="G546" i="7"/>
  <c r="D546" i="7"/>
  <c r="C546" i="7"/>
  <c r="G545" i="7"/>
  <c r="D545" i="7"/>
  <c r="C545" i="7"/>
  <c r="G544" i="7"/>
  <c r="D544" i="7"/>
  <c r="C544" i="7"/>
  <c r="G543" i="7"/>
  <c r="D543" i="7"/>
  <c r="C543" i="7"/>
  <c r="G542" i="7"/>
  <c r="D542" i="7"/>
  <c r="C542" i="7"/>
  <c r="G541" i="7"/>
  <c r="D541" i="7"/>
  <c r="C541" i="7"/>
  <c r="G540" i="7"/>
  <c r="D540" i="7"/>
  <c r="C540" i="7"/>
  <c r="G539" i="7"/>
  <c r="D539" i="7"/>
  <c r="C539" i="7"/>
  <c r="C538" i="7"/>
  <c r="G537" i="7"/>
  <c r="C537" i="7"/>
  <c r="E536" i="7"/>
  <c r="H534" i="7"/>
  <c r="G534" i="7"/>
  <c r="E534" i="7"/>
  <c r="H532" i="7"/>
  <c r="G532" i="7"/>
  <c r="E532" i="7"/>
  <c r="D532" i="7"/>
  <c r="H525" i="7"/>
  <c r="G525" i="7"/>
  <c r="G522" i="7"/>
  <c r="D522" i="7"/>
  <c r="C522" i="7"/>
  <c r="G521" i="7"/>
  <c r="D521" i="7"/>
  <c r="C521" i="7"/>
  <c r="G520" i="7"/>
  <c r="D520" i="7"/>
  <c r="C520" i="7"/>
  <c r="G519" i="7"/>
  <c r="D519" i="7"/>
  <c r="C519" i="7"/>
  <c r="G518" i="7"/>
  <c r="D518" i="7"/>
  <c r="C518" i="7"/>
  <c r="G517" i="7"/>
  <c r="D517" i="7"/>
  <c r="C517" i="7"/>
  <c r="G516" i="7"/>
  <c r="D516" i="7"/>
  <c r="C516" i="7"/>
  <c r="G515" i="7"/>
  <c r="D515" i="7"/>
  <c r="C515" i="7"/>
  <c r="G514" i="7"/>
  <c r="D514" i="7"/>
  <c r="C514" i="7"/>
  <c r="G513" i="7"/>
  <c r="D513" i="7"/>
  <c r="C513" i="7"/>
  <c r="G512" i="7"/>
  <c r="D512" i="7"/>
  <c r="C512" i="7"/>
  <c r="G511" i="7"/>
  <c r="D511" i="7"/>
  <c r="C511" i="7"/>
  <c r="G510" i="7"/>
  <c r="D510" i="7"/>
  <c r="C510" i="7"/>
  <c r="G509" i="7"/>
  <c r="D509" i="7"/>
  <c r="C509" i="7"/>
  <c r="G508" i="7"/>
  <c r="D508" i="7"/>
  <c r="C508" i="7"/>
  <c r="G507" i="7"/>
  <c r="D507" i="7"/>
  <c r="C507" i="7"/>
  <c r="G506" i="7"/>
  <c r="D506" i="7"/>
  <c r="C506" i="7"/>
  <c r="G505" i="7"/>
  <c r="D505" i="7"/>
  <c r="C505" i="7"/>
  <c r="G504" i="7"/>
  <c r="D504" i="7"/>
  <c r="C504" i="7"/>
  <c r="G503" i="7"/>
  <c r="D503" i="7"/>
  <c r="C503" i="7"/>
  <c r="G502" i="7"/>
  <c r="D502" i="7"/>
  <c r="C502" i="7"/>
  <c r="G501" i="7"/>
  <c r="D501" i="7"/>
  <c r="C501" i="7"/>
  <c r="G500" i="7"/>
  <c r="D500" i="7"/>
  <c r="C500" i="7"/>
  <c r="G499" i="7"/>
  <c r="D499" i="7"/>
  <c r="C499" i="7"/>
  <c r="G498" i="7"/>
  <c r="D498" i="7"/>
  <c r="C498" i="7"/>
  <c r="G497" i="7"/>
  <c r="D497" i="7"/>
  <c r="C497" i="7"/>
  <c r="G496" i="7"/>
  <c r="D496" i="7"/>
  <c r="C496" i="7"/>
  <c r="G495" i="7"/>
  <c r="D495" i="7"/>
  <c r="C495" i="7"/>
  <c r="G494" i="7"/>
  <c r="D494" i="7"/>
  <c r="C494" i="7"/>
  <c r="G493" i="7"/>
  <c r="D493" i="7"/>
  <c r="C493" i="7"/>
  <c r="G492" i="7"/>
  <c r="D492" i="7"/>
  <c r="C492" i="7"/>
  <c r="G491" i="7"/>
  <c r="D491" i="7"/>
  <c r="C491" i="7"/>
  <c r="G490" i="7"/>
  <c r="D490" i="7"/>
  <c r="C490" i="7"/>
  <c r="G489" i="7"/>
  <c r="D489" i="7"/>
  <c r="C489" i="7"/>
  <c r="G488" i="7"/>
  <c r="D488" i="7"/>
  <c r="C488" i="7"/>
  <c r="G487" i="7"/>
  <c r="D487" i="7"/>
  <c r="C487" i="7"/>
  <c r="G486" i="7"/>
  <c r="D486" i="7"/>
  <c r="C486" i="7"/>
  <c r="G485" i="7"/>
  <c r="D485" i="7"/>
  <c r="C485" i="7"/>
  <c r="G484" i="7"/>
  <c r="D484" i="7"/>
  <c r="C484" i="7"/>
  <c r="G483" i="7"/>
  <c r="D483" i="7"/>
  <c r="C483" i="7"/>
  <c r="G482" i="7"/>
  <c r="D482" i="7"/>
  <c r="C482" i="7"/>
  <c r="G481" i="7"/>
  <c r="D481" i="7"/>
  <c r="C481" i="7"/>
  <c r="G480" i="7"/>
  <c r="D480" i="7"/>
  <c r="C480" i="7"/>
  <c r="G479" i="7"/>
  <c r="D479" i="7"/>
  <c r="G478" i="7"/>
  <c r="D478" i="7"/>
  <c r="C478" i="7"/>
  <c r="G477" i="7"/>
  <c r="D477" i="7"/>
  <c r="C477" i="7"/>
  <c r="G476" i="7"/>
  <c r="D476" i="7"/>
  <c r="C476" i="7"/>
  <c r="G475" i="7"/>
  <c r="D475" i="7"/>
  <c r="C475" i="7"/>
  <c r="G474" i="7"/>
  <c r="D474" i="7"/>
  <c r="C474" i="7"/>
  <c r="G473" i="7"/>
  <c r="C473" i="7"/>
  <c r="H472" i="7"/>
  <c r="G472" i="7"/>
  <c r="E472" i="7"/>
  <c r="D472" i="7"/>
  <c r="H471" i="7"/>
  <c r="G471" i="7"/>
  <c r="E471" i="7"/>
  <c r="D471" i="7"/>
  <c r="H470" i="7"/>
  <c r="H469" i="7" s="1"/>
  <c r="G470" i="7"/>
  <c r="E470" i="7"/>
  <c r="D470" i="7"/>
  <c r="G468" i="7"/>
  <c r="D468" i="7"/>
  <c r="C468" i="7"/>
  <c r="G467" i="7"/>
  <c r="D467" i="7"/>
  <c r="C467" i="7"/>
  <c r="G466" i="7"/>
  <c r="D466" i="7"/>
  <c r="C466" i="7"/>
  <c r="G465" i="7"/>
  <c r="D465" i="7"/>
  <c r="C465" i="7"/>
  <c r="G464" i="7"/>
  <c r="D464" i="7"/>
  <c r="C464" i="7"/>
  <c r="G463" i="7"/>
  <c r="D463" i="7"/>
  <c r="C463" i="7"/>
  <c r="G462" i="7"/>
  <c r="D462" i="7"/>
  <c r="C462" i="7"/>
  <c r="G461" i="7"/>
  <c r="D461" i="7"/>
  <c r="C461" i="7"/>
  <c r="G460" i="7"/>
  <c r="D460" i="7"/>
  <c r="C460" i="7"/>
  <c r="G459" i="7"/>
  <c r="D459" i="7"/>
  <c r="C459" i="7"/>
  <c r="G458" i="7"/>
  <c r="D458" i="7"/>
  <c r="C458" i="7"/>
  <c r="G457" i="7"/>
  <c r="D457" i="7"/>
  <c r="C457" i="7"/>
  <c r="G456" i="7"/>
  <c r="D456" i="7"/>
  <c r="C456" i="7"/>
  <c r="G455" i="7"/>
  <c r="D455" i="7"/>
  <c r="C455" i="7"/>
  <c r="G454" i="7"/>
  <c r="D454" i="7"/>
  <c r="C454" i="7"/>
  <c r="G453" i="7"/>
  <c r="D453" i="7"/>
  <c r="C453" i="7"/>
  <c r="G452" i="7"/>
  <c r="D452" i="7"/>
  <c r="C452" i="7"/>
  <c r="G451" i="7"/>
  <c r="D451" i="7"/>
  <c r="C451" i="7"/>
  <c r="G450" i="7"/>
  <c r="D450" i="7"/>
  <c r="C450" i="7"/>
  <c r="G449" i="7"/>
  <c r="D449" i="7"/>
  <c r="C449" i="7"/>
  <c r="G448" i="7"/>
  <c r="D448" i="7"/>
  <c r="C448" i="7"/>
  <c r="G447" i="7"/>
  <c r="D447" i="7"/>
  <c r="C447" i="7"/>
  <c r="G446" i="7"/>
  <c r="D446" i="7"/>
  <c r="C446" i="7"/>
  <c r="G445" i="7"/>
  <c r="D445" i="7"/>
  <c r="C445" i="7"/>
  <c r="G444" i="7"/>
  <c r="D444" i="7"/>
  <c r="C444" i="7"/>
  <c r="G443" i="7"/>
  <c r="D443" i="7"/>
  <c r="C443" i="7"/>
  <c r="G442" i="7"/>
  <c r="D442" i="7"/>
  <c r="C442" i="7"/>
  <c r="G441" i="7"/>
  <c r="D441" i="7"/>
  <c r="C441" i="7"/>
  <c r="G440" i="7"/>
  <c r="D440" i="7"/>
  <c r="C440" i="7"/>
  <c r="G439" i="7"/>
  <c r="D439" i="7"/>
  <c r="C439" i="7"/>
  <c r="G438" i="7"/>
  <c r="D438" i="7"/>
  <c r="C438" i="7"/>
  <c r="G437" i="7"/>
  <c r="D437" i="7"/>
  <c r="C437" i="7"/>
  <c r="G436" i="7"/>
  <c r="D436" i="7"/>
  <c r="C436" i="7"/>
  <c r="G435" i="7"/>
  <c r="D435" i="7"/>
  <c r="C435" i="7"/>
  <c r="G434" i="7"/>
  <c r="D434" i="7"/>
  <c r="C434" i="7"/>
  <c r="G433" i="7"/>
  <c r="D433" i="7"/>
  <c r="C433" i="7"/>
  <c r="G432" i="7"/>
  <c r="D432" i="7"/>
  <c r="C432" i="7"/>
  <c r="G431" i="7"/>
  <c r="D431" i="7"/>
  <c r="C431" i="7"/>
  <c r="G430" i="7"/>
  <c r="D430" i="7"/>
  <c r="C430" i="7"/>
  <c r="G429" i="7"/>
  <c r="D429" i="7"/>
  <c r="C429" i="7"/>
  <c r="G428" i="7"/>
  <c r="D428" i="7"/>
  <c r="C428" i="7"/>
  <c r="G427" i="7"/>
  <c r="D427" i="7"/>
  <c r="C427" i="7"/>
  <c r="G426" i="7"/>
  <c r="D426" i="7"/>
  <c r="C426" i="7"/>
  <c r="G425" i="7"/>
  <c r="D425" i="7"/>
  <c r="C425" i="7"/>
  <c r="G424" i="7"/>
  <c r="D424" i="7"/>
  <c r="C424" i="7"/>
  <c r="G423" i="7"/>
  <c r="D423" i="7"/>
  <c r="C423" i="7"/>
  <c r="G422" i="7"/>
  <c r="D422" i="7"/>
  <c r="C422" i="7"/>
  <c r="G421" i="7"/>
  <c r="D421" i="7"/>
  <c r="C421" i="7"/>
  <c r="G420" i="7"/>
  <c r="D420" i="7"/>
  <c r="C420" i="7"/>
  <c r="E419" i="7"/>
  <c r="C419" i="7"/>
  <c r="G414" i="7"/>
  <c r="D414" i="7"/>
  <c r="C414" i="7"/>
  <c r="G413" i="7"/>
  <c r="D413" i="7"/>
  <c r="C413" i="7"/>
  <c r="G412" i="7"/>
  <c r="D412" i="7"/>
  <c r="C412" i="7"/>
  <c r="G411" i="7"/>
  <c r="D411" i="7"/>
  <c r="C411" i="7"/>
  <c r="G410" i="7"/>
  <c r="D410" i="7"/>
  <c r="C410" i="7"/>
  <c r="G409" i="7"/>
  <c r="D409" i="7"/>
  <c r="C409" i="7"/>
  <c r="G408" i="7"/>
  <c r="D408" i="7"/>
  <c r="C408" i="7"/>
  <c r="G407" i="7"/>
  <c r="D407" i="7"/>
  <c r="C407" i="7"/>
  <c r="G406" i="7"/>
  <c r="D406" i="7"/>
  <c r="C406" i="7"/>
  <c r="G405" i="7"/>
  <c r="D405" i="7"/>
  <c r="C405" i="7"/>
  <c r="G404" i="7"/>
  <c r="D404" i="7"/>
  <c r="C404" i="7"/>
  <c r="G403" i="7"/>
  <c r="D403" i="7"/>
  <c r="C403" i="7"/>
  <c r="G402" i="7"/>
  <c r="D402" i="7"/>
  <c r="C402" i="7"/>
  <c r="G401" i="7"/>
  <c r="D401" i="7"/>
  <c r="C401" i="7"/>
  <c r="G400" i="7"/>
  <c r="D400" i="7"/>
  <c r="C400" i="7"/>
  <c r="G399" i="7"/>
  <c r="D399" i="7"/>
  <c r="C399" i="7"/>
  <c r="G398" i="7"/>
  <c r="D398" i="7"/>
  <c r="C398" i="7"/>
  <c r="G397" i="7"/>
  <c r="D397" i="7"/>
  <c r="C397" i="7"/>
  <c r="G396" i="7"/>
  <c r="D396" i="7"/>
  <c r="C396" i="7"/>
  <c r="G395" i="7"/>
  <c r="D395" i="7"/>
  <c r="C395" i="7"/>
  <c r="G394" i="7"/>
  <c r="D394" i="7"/>
  <c r="C394" i="7"/>
  <c r="G393" i="7"/>
  <c r="D393" i="7"/>
  <c r="C393" i="7"/>
  <c r="G392" i="7"/>
  <c r="D392" i="7"/>
  <c r="C392" i="7"/>
  <c r="G391" i="7"/>
  <c r="D391" i="7"/>
  <c r="C391" i="7"/>
  <c r="G390" i="7"/>
  <c r="D390" i="7"/>
  <c r="C390" i="7"/>
  <c r="G389" i="7"/>
  <c r="D389" i="7"/>
  <c r="C389" i="7"/>
  <c r="G388" i="7"/>
  <c r="D388" i="7"/>
  <c r="C388" i="7"/>
  <c r="G387" i="7"/>
  <c r="D387" i="7"/>
  <c r="C387" i="7"/>
  <c r="G386" i="7"/>
  <c r="D386" i="7"/>
  <c r="C386" i="7"/>
  <c r="G385" i="7"/>
  <c r="D385" i="7"/>
  <c r="C385" i="7"/>
  <c r="H383" i="7"/>
  <c r="H382" i="7" s="1"/>
  <c r="G383" i="7"/>
  <c r="E383" i="7"/>
  <c r="E382" i="7" s="1"/>
  <c r="G381" i="7"/>
  <c r="D381" i="7"/>
  <c r="C381" i="7"/>
  <c r="G380" i="7"/>
  <c r="D380" i="7"/>
  <c r="C380" i="7"/>
  <c r="G379" i="7"/>
  <c r="D379" i="7"/>
  <c r="C379" i="7"/>
  <c r="G378" i="7"/>
  <c r="D378" i="7"/>
  <c r="C378" i="7"/>
  <c r="G377" i="7"/>
  <c r="D377" i="7"/>
  <c r="C377" i="7"/>
  <c r="G376" i="7"/>
  <c r="D376" i="7"/>
  <c r="C376" i="7"/>
  <c r="G375" i="7"/>
  <c r="D375" i="7"/>
  <c r="C375" i="7"/>
  <c r="G374" i="7"/>
  <c r="D374" i="7"/>
  <c r="C374" i="7"/>
  <c r="G373" i="7"/>
  <c r="D373" i="7"/>
  <c r="C373" i="7"/>
  <c r="G372" i="7"/>
  <c r="D372" i="7"/>
  <c r="C372" i="7"/>
  <c r="G371" i="7"/>
  <c r="D371" i="7"/>
  <c r="C371" i="7"/>
  <c r="G370" i="7"/>
  <c r="D370" i="7"/>
  <c r="C370" i="7"/>
  <c r="G369" i="7"/>
  <c r="D369" i="7"/>
  <c r="C369" i="7"/>
  <c r="G368" i="7"/>
  <c r="D368" i="7"/>
  <c r="C368" i="7"/>
  <c r="G367" i="7"/>
  <c r="D367" i="7"/>
  <c r="C367" i="7"/>
  <c r="G366" i="7"/>
  <c r="D366" i="7"/>
  <c r="C366" i="7"/>
  <c r="G365" i="7"/>
  <c r="D365" i="7"/>
  <c r="C365" i="7"/>
  <c r="G364" i="7"/>
  <c r="D364" i="7"/>
  <c r="C364" i="7"/>
  <c r="G363" i="7"/>
  <c r="D363" i="7"/>
  <c r="C363" i="7"/>
  <c r="G362" i="7"/>
  <c r="D362" i="7"/>
  <c r="C362" i="7"/>
  <c r="G361" i="7"/>
  <c r="D361" i="7"/>
  <c r="C361" i="7"/>
  <c r="G360" i="7"/>
  <c r="D360" i="7"/>
  <c r="C360" i="7"/>
  <c r="G359" i="7"/>
  <c r="D359" i="7"/>
  <c r="C359" i="7"/>
  <c r="G358" i="7"/>
  <c r="D358" i="7"/>
  <c r="C358" i="7"/>
  <c r="G357" i="7"/>
  <c r="D357" i="7"/>
  <c r="C357" i="7"/>
  <c r="G356" i="7"/>
  <c r="D356" i="7"/>
  <c r="C356" i="7"/>
  <c r="G355" i="7"/>
  <c r="D355" i="7"/>
  <c r="C355" i="7"/>
  <c r="C354" i="7"/>
  <c r="C353" i="7"/>
  <c r="H348" i="7"/>
  <c r="G348" i="7"/>
  <c r="D348" i="7"/>
  <c r="H347" i="7"/>
  <c r="G347" i="7"/>
  <c r="D347" i="7"/>
  <c r="H346" i="7"/>
  <c r="G346" i="7"/>
  <c r="D346" i="7"/>
  <c r="H345" i="7"/>
  <c r="G345" i="7"/>
  <c r="G343" i="7"/>
  <c r="D343" i="7"/>
  <c r="C343" i="7"/>
  <c r="G342" i="7"/>
  <c r="D342" i="7"/>
  <c r="C342" i="7"/>
  <c r="G341" i="7"/>
  <c r="D341" i="7"/>
  <c r="C341" i="7"/>
  <c r="G340" i="7"/>
  <c r="D340" i="7"/>
  <c r="C340" i="7"/>
  <c r="G339" i="7"/>
  <c r="D339" i="7"/>
  <c r="C339" i="7"/>
  <c r="G338" i="7"/>
  <c r="D338" i="7"/>
  <c r="C338" i="7"/>
  <c r="G337" i="7"/>
  <c r="D337" i="7"/>
  <c r="C337" i="7"/>
  <c r="G336" i="7"/>
  <c r="D336" i="7"/>
  <c r="C336" i="7"/>
  <c r="G335" i="7"/>
  <c r="D335" i="7"/>
  <c r="C335" i="7"/>
  <c r="G334" i="7"/>
  <c r="D334" i="7"/>
  <c r="C334" i="7"/>
  <c r="G333" i="7"/>
  <c r="D333" i="7"/>
  <c r="C333" i="7"/>
  <c r="G332" i="7"/>
  <c r="D332" i="7"/>
  <c r="C332" i="7"/>
  <c r="G331" i="7"/>
  <c r="D331" i="7"/>
  <c r="C331" i="7"/>
  <c r="G330" i="7"/>
  <c r="D330" i="7"/>
  <c r="C330" i="7"/>
  <c r="G329" i="7"/>
  <c r="D329" i="7"/>
  <c r="C329" i="7"/>
  <c r="G328" i="7"/>
  <c r="D328" i="7"/>
  <c r="C328" i="7"/>
  <c r="G327" i="7"/>
  <c r="D327" i="7"/>
  <c r="C327" i="7"/>
  <c r="G326" i="7"/>
  <c r="D326" i="7"/>
  <c r="C326" i="7"/>
  <c r="G325" i="7"/>
  <c r="D325" i="7"/>
  <c r="C325" i="7"/>
  <c r="G324" i="7"/>
  <c r="D324" i="7"/>
  <c r="C324" i="7"/>
  <c r="G323" i="7"/>
  <c r="D323" i="7"/>
  <c r="C323" i="7"/>
  <c r="G322" i="7"/>
  <c r="D322" i="7"/>
  <c r="C322" i="7"/>
  <c r="G321" i="7"/>
  <c r="D321" i="7"/>
  <c r="C321" i="7"/>
  <c r="G320" i="7"/>
  <c r="D320" i="7"/>
  <c r="C320" i="7"/>
  <c r="G319" i="7"/>
  <c r="D319" i="7"/>
  <c r="C319" i="7"/>
  <c r="G318" i="7"/>
  <c r="D318" i="7"/>
  <c r="C318" i="7"/>
  <c r="G317" i="7"/>
  <c r="D317" i="7"/>
  <c r="C317" i="7"/>
  <c r="G316" i="7"/>
  <c r="D316" i="7"/>
  <c r="C316" i="7"/>
  <c r="G315" i="7"/>
  <c r="D315" i="7"/>
  <c r="C315" i="7"/>
  <c r="D314" i="7"/>
  <c r="F314" i="7" s="1"/>
  <c r="C314" i="7"/>
  <c r="H313" i="7"/>
  <c r="H312" i="7" s="1"/>
  <c r="G313" i="7"/>
  <c r="G311" i="7"/>
  <c r="D311" i="7"/>
  <c r="C311" i="7"/>
  <c r="G310" i="7"/>
  <c r="D310" i="7"/>
  <c r="C310" i="7"/>
  <c r="G309" i="7"/>
  <c r="D309" i="7"/>
  <c r="C309" i="7"/>
  <c r="G308" i="7"/>
  <c r="D308" i="7"/>
  <c r="C308" i="7"/>
  <c r="G307" i="7"/>
  <c r="D307" i="7"/>
  <c r="C307" i="7"/>
  <c r="G306" i="7"/>
  <c r="D306" i="7"/>
  <c r="C306" i="7"/>
  <c r="G305" i="7"/>
  <c r="D305" i="7"/>
  <c r="C305" i="7"/>
  <c r="G304" i="7"/>
  <c r="D304" i="7"/>
  <c r="C304" i="7"/>
  <c r="G303" i="7"/>
  <c r="D303" i="7"/>
  <c r="C303" i="7"/>
  <c r="G302" i="7"/>
  <c r="D302" i="7"/>
  <c r="C302" i="7"/>
  <c r="G301" i="7"/>
  <c r="D301" i="7"/>
  <c r="C301" i="7"/>
  <c r="G300" i="7"/>
  <c r="D300" i="7"/>
  <c r="C300" i="7"/>
  <c r="G299" i="7"/>
  <c r="D299" i="7"/>
  <c r="C299" i="7"/>
  <c r="G298" i="7"/>
  <c r="D298" i="7"/>
  <c r="C298" i="7"/>
  <c r="G297" i="7"/>
  <c r="D297" i="7"/>
  <c r="C297" i="7"/>
  <c r="G296" i="7"/>
  <c r="D296" i="7"/>
  <c r="C296" i="7"/>
  <c r="G295" i="7"/>
  <c r="D295" i="7"/>
  <c r="C295" i="7"/>
  <c r="G294" i="7"/>
  <c r="D294" i="7"/>
  <c r="C294" i="7"/>
  <c r="G293" i="7"/>
  <c r="D293" i="7"/>
  <c r="C293" i="7"/>
  <c r="G292" i="7"/>
  <c r="D292" i="7"/>
  <c r="C292" i="7"/>
  <c r="G291" i="7"/>
  <c r="D291" i="7"/>
  <c r="C291" i="7"/>
  <c r="G290" i="7"/>
  <c r="D290" i="7"/>
  <c r="C290" i="7"/>
  <c r="G289" i="7"/>
  <c r="D289" i="7"/>
  <c r="C289" i="7"/>
  <c r="G288" i="7"/>
  <c r="D288" i="7"/>
  <c r="C288" i="7"/>
  <c r="G287" i="7"/>
  <c r="D287" i="7"/>
  <c r="C287" i="7"/>
  <c r="G286" i="7"/>
  <c r="D286" i="7"/>
  <c r="C286" i="7"/>
  <c r="G285" i="7"/>
  <c r="D285" i="7"/>
  <c r="C285" i="7"/>
  <c r="G284" i="7"/>
  <c r="D284" i="7"/>
  <c r="C284" i="7"/>
  <c r="G283" i="7"/>
  <c r="D283" i="7"/>
  <c r="C283" i="7"/>
  <c r="G282" i="7"/>
  <c r="D282" i="7"/>
  <c r="C282" i="7"/>
  <c r="H281" i="7"/>
  <c r="H280" i="7" s="1"/>
  <c r="G281" i="7"/>
  <c r="E281" i="7"/>
  <c r="G279" i="7"/>
  <c r="D279" i="7"/>
  <c r="C279" i="7"/>
  <c r="G278" i="7"/>
  <c r="D278" i="7"/>
  <c r="C278" i="7"/>
  <c r="G277" i="7"/>
  <c r="D277" i="7"/>
  <c r="C277" i="7"/>
  <c r="G276" i="7"/>
  <c r="D276" i="7"/>
  <c r="C276" i="7"/>
  <c r="G275" i="7"/>
  <c r="D275" i="7"/>
  <c r="C275" i="7"/>
  <c r="G274" i="7"/>
  <c r="D274" i="7"/>
  <c r="C274" i="7"/>
  <c r="G273" i="7"/>
  <c r="D273" i="7"/>
  <c r="C273" i="7"/>
  <c r="G272" i="7"/>
  <c r="D272" i="7"/>
  <c r="C272" i="7"/>
  <c r="G271" i="7"/>
  <c r="D271" i="7"/>
  <c r="C271" i="7"/>
  <c r="G270" i="7"/>
  <c r="D270" i="7"/>
  <c r="C270" i="7"/>
  <c r="G269" i="7"/>
  <c r="D269" i="7"/>
  <c r="C269" i="7"/>
  <c r="G268" i="7"/>
  <c r="D268" i="7"/>
  <c r="C268" i="7"/>
  <c r="G267" i="7"/>
  <c r="D267" i="7"/>
  <c r="C267" i="7"/>
  <c r="G266" i="7"/>
  <c r="D266" i="7"/>
  <c r="C266" i="7"/>
  <c r="G265" i="7"/>
  <c r="D265" i="7"/>
  <c r="C265" i="7"/>
  <c r="G264" i="7"/>
  <c r="D264" i="7"/>
  <c r="C264" i="7"/>
  <c r="G263" i="7"/>
  <c r="D263" i="7"/>
  <c r="C263" i="7"/>
  <c r="G262" i="7"/>
  <c r="D262" i="7"/>
  <c r="C262" i="7"/>
  <c r="G261" i="7"/>
  <c r="D261" i="7"/>
  <c r="C261" i="7"/>
  <c r="G260" i="7"/>
  <c r="D260" i="7"/>
  <c r="C260" i="7"/>
  <c r="G259" i="7"/>
  <c r="D259" i="7"/>
  <c r="C259" i="7"/>
  <c r="G258" i="7"/>
  <c r="D258" i="7"/>
  <c r="C258" i="7"/>
  <c r="G257" i="7"/>
  <c r="D257" i="7"/>
  <c r="C257" i="7"/>
  <c r="G256" i="7"/>
  <c r="D256" i="7"/>
  <c r="C256" i="7"/>
  <c r="G255" i="7"/>
  <c r="D255" i="7"/>
  <c r="C255" i="7"/>
  <c r="G254" i="7"/>
  <c r="D254" i="7"/>
  <c r="C254" i="7"/>
  <c r="G253" i="7"/>
  <c r="D253" i="7"/>
  <c r="C253" i="7"/>
  <c r="G252" i="7"/>
  <c r="D252" i="7"/>
  <c r="C252" i="7"/>
  <c r="G251" i="7"/>
  <c r="D251" i="7"/>
  <c r="C251" i="7"/>
  <c r="G250" i="7"/>
  <c r="E250" i="7"/>
  <c r="C250" i="7"/>
  <c r="G247" i="7"/>
  <c r="D247" i="7"/>
  <c r="C247" i="7"/>
  <c r="G246" i="7"/>
  <c r="D246" i="7"/>
  <c r="C246" i="7"/>
  <c r="G245" i="7"/>
  <c r="D245" i="7"/>
  <c r="C245" i="7"/>
  <c r="G244" i="7"/>
  <c r="D244" i="7"/>
  <c r="C244" i="7"/>
  <c r="G243" i="7"/>
  <c r="D243" i="7"/>
  <c r="C243" i="7"/>
  <c r="G242" i="7"/>
  <c r="D242" i="7"/>
  <c r="C242" i="7"/>
  <c r="G241" i="7"/>
  <c r="D241" i="7"/>
  <c r="C241" i="7"/>
  <c r="G240" i="7"/>
  <c r="D240" i="7"/>
  <c r="C240" i="7"/>
  <c r="G239" i="7"/>
  <c r="D239" i="7"/>
  <c r="C239" i="7"/>
  <c r="G238" i="7"/>
  <c r="D238" i="7"/>
  <c r="C238" i="7"/>
  <c r="G237" i="7"/>
  <c r="D237" i="7"/>
  <c r="C237" i="7"/>
  <c r="G236" i="7"/>
  <c r="D236" i="7"/>
  <c r="C236" i="7"/>
  <c r="G235" i="7"/>
  <c r="D235" i="7"/>
  <c r="C235" i="7"/>
  <c r="G234" i="7"/>
  <c r="D234" i="7"/>
  <c r="C234" i="7"/>
  <c r="G233" i="7"/>
  <c r="D233" i="7"/>
  <c r="C233" i="7"/>
  <c r="G232" i="7"/>
  <c r="D232" i="7"/>
  <c r="C232" i="7"/>
  <c r="G231" i="7"/>
  <c r="D231" i="7"/>
  <c r="C231" i="7"/>
  <c r="G230" i="7"/>
  <c r="D230" i="7"/>
  <c r="C230" i="7"/>
  <c r="G229" i="7"/>
  <c r="D229" i="7"/>
  <c r="C229" i="7"/>
  <c r="G228" i="7"/>
  <c r="D228" i="7"/>
  <c r="C228" i="7"/>
  <c r="G227" i="7"/>
  <c r="D227" i="7"/>
  <c r="C227" i="7"/>
  <c r="G226" i="7"/>
  <c r="D226" i="7"/>
  <c r="C226" i="7"/>
  <c r="G225" i="7"/>
  <c r="D225" i="7"/>
  <c r="C225" i="7"/>
  <c r="G224" i="7"/>
  <c r="D224" i="7"/>
  <c r="C224" i="7"/>
  <c r="G223" i="7"/>
  <c r="D223" i="7"/>
  <c r="C223" i="7"/>
  <c r="G222" i="7"/>
  <c r="D222" i="7"/>
  <c r="C222" i="7"/>
  <c r="G221" i="7"/>
  <c r="D221" i="7"/>
  <c r="C221" i="7"/>
  <c r="G220" i="7"/>
  <c r="D220" i="7"/>
  <c r="C220" i="7"/>
  <c r="G219" i="7"/>
  <c r="D219" i="7"/>
  <c r="C219" i="7"/>
  <c r="G218" i="7"/>
  <c r="D218" i="7"/>
  <c r="C218" i="7"/>
  <c r="G217" i="7"/>
  <c r="D217" i="7"/>
  <c r="C217" i="7"/>
  <c r="G216" i="7"/>
  <c r="D216" i="7"/>
  <c r="C216" i="7"/>
  <c r="G215" i="7"/>
  <c r="D215" i="7"/>
  <c r="C215" i="7"/>
  <c r="G214" i="7"/>
  <c r="D214" i="7"/>
  <c r="C214" i="7"/>
  <c r="G213" i="7"/>
  <c r="D213" i="7"/>
  <c r="C213" i="7"/>
  <c r="G212" i="7"/>
  <c r="D212" i="7"/>
  <c r="C212" i="7"/>
  <c r="G211" i="7"/>
  <c r="D211" i="7"/>
  <c r="C211" i="7"/>
  <c r="G210" i="7"/>
  <c r="D210" i="7"/>
  <c r="C210" i="7"/>
  <c r="G209" i="7"/>
  <c r="D209" i="7"/>
  <c r="C209" i="7"/>
  <c r="G208" i="7"/>
  <c r="D208" i="7"/>
  <c r="C208" i="7"/>
  <c r="G207" i="7"/>
  <c r="D207" i="7"/>
  <c r="C207" i="7"/>
  <c r="G206" i="7"/>
  <c r="D206" i="7"/>
  <c r="C206" i="7"/>
  <c r="G205" i="7"/>
  <c r="D205" i="7"/>
  <c r="C205" i="7"/>
  <c r="G204" i="7"/>
  <c r="D204" i="7"/>
  <c r="C204" i="7"/>
  <c r="G203" i="7"/>
  <c r="D203" i="7"/>
  <c r="C203" i="7"/>
  <c r="G202" i="7"/>
  <c r="D202" i="7"/>
  <c r="C202" i="7"/>
  <c r="G201" i="7"/>
  <c r="D201" i="7"/>
  <c r="C201" i="7"/>
  <c r="G200" i="7"/>
  <c r="D200" i="7"/>
  <c r="C200" i="7"/>
  <c r="G199" i="7"/>
  <c r="D199" i="7"/>
  <c r="F199" i="7" s="1"/>
  <c r="C199" i="7"/>
  <c r="G198" i="7"/>
  <c r="I198" i="7" s="1"/>
  <c r="D198" i="7"/>
  <c r="C198" i="7"/>
  <c r="G196" i="7"/>
  <c r="G194" i="7"/>
  <c r="D194" i="7"/>
  <c r="C194" i="7"/>
  <c r="G193" i="7"/>
  <c r="D193" i="7"/>
  <c r="C193" i="7"/>
  <c r="G192" i="7"/>
  <c r="D192" i="7"/>
  <c r="C192" i="7"/>
  <c r="G191" i="7"/>
  <c r="D191" i="7"/>
  <c r="C191" i="7"/>
  <c r="G190" i="7"/>
  <c r="D190" i="7"/>
  <c r="C190" i="7"/>
  <c r="G189" i="7"/>
  <c r="D189" i="7"/>
  <c r="C189" i="7"/>
  <c r="G188" i="7"/>
  <c r="D188" i="7"/>
  <c r="C188" i="7"/>
  <c r="G187" i="7"/>
  <c r="D187" i="7"/>
  <c r="C187" i="7"/>
  <c r="G186" i="7"/>
  <c r="D186" i="7"/>
  <c r="C186" i="7"/>
  <c r="G185" i="7"/>
  <c r="D185" i="7"/>
  <c r="C185" i="7"/>
  <c r="G184" i="7"/>
  <c r="D184" i="7"/>
  <c r="C184" i="7"/>
  <c r="G183" i="7"/>
  <c r="D183" i="7"/>
  <c r="C183" i="7"/>
  <c r="G182" i="7"/>
  <c r="D182" i="7"/>
  <c r="C182" i="7"/>
  <c r="G181" i="7"/>
  <c r="D181" i="7"/>
  <c r="C181" i="7"/>
  <c r="G180" i="7"/>
  <c r="D180" i="7"/>
  <c r="C180" i="7"/>
  <c r="H178" i="7"/>
  <c r="G178" i="7"/>
  <c r="E178" i="7"/>
  <c r="D178" i="7"/>
  <c r="H177" i="7"/>
  <c r="G177" i="7"/>
  <c r="E177" i="7"/>
  <c r="D177" i="7"/>
  <c r="H176" i="7"/>
  <c r="G176" i="7"/>
  <c r="E176" i="7"/>
  <c r="D176" i="7"/>
  <c r="H175" i="7"/>
  <c r="G175" i="7"/>
  <c r="G173" i="7"/>
  <c r="D173" i="7"/>
  <c r="C173" i="7"/>
  <c r="G172" i="7"/>
  <c r="D172" i="7"/>
  <c r="C172" i="7"/>
  <c r="G171" i="7"/>
  <c r="D171" i="7"/>
  <c r="C171" i="7"/>
  <c r="G170" i="7"/>
  <c r="D170" i="7"/>
  <c r="C170" i="7"/>
  <c r="G169" i="7"/>
  <c r="D169" i="7"/>
  <c r="C169" i="7"/>
  <c r="G168" i="7"/>
  <c r="D168" i="7"/>
  <c r="C168" i="7"/>
  <c r="G167" i="7"/>
  <c r="D167" i="7"/>
  <c r="C167" i="7"/>
  <c r="G166" i="7"/>
  <c r="D166" i="7"/>
  <c r="C166" i="7"/>
  <c r="G165" i="7"/>
  <c r="D165" i="7"/>
  <c r="C165" i="7"/>
  <c r="G164" i="7"/>
  <c r="D164" i="7"/>
  <c r="C164" i="7"/>
  <c r="G163" i="7"/>
  <c r="D163" i="7"/>
  <c r="C163" i="7"/>
  <c r="G162" i="7"/>
  <c r="D162" i="7"/>
  <c r="C162" i="7"/>
  <c r="G161" i="7"/>
  <c r="D161" i="7"/>
  <c r="C161" i="7"/>
  <c r="G160" i="7"/>
  <c r="D160" i="7"/>
  <c r="C160" i="7"/>
  <c r="G159" i="7"/>
  <c r="D159" i="7"/>
  <c r="C159" i="7"/>
  <c r="G155" i="7"/>
  <c r="D155" i="7"/>
  <c r="C155" i="7"/>
  <c r="G154" i="7"/>
  <c r="D154" i="7"/>
  <c r="C154" i="7"/>
  <c r="G153" i="7"/>
  <c r="D153" i="7"/>
  <c r="C153" i="7"/>
  <c r="G152" i="7"/>
  <c r="D152" i="7"/>
  <c r="C152" i="7"/>
  <c r="G151" i="7"/>
  <c r="D151" i="7"/>
  <c r="C151" i="7"/>
  <c r="G150" i="7"/>
  <c r="D150" i="7"/>
  <c r="C150" i="7"/>
  <c r="G149" i="7"/>
  <c r="D149" i="7"/>
  <c r="C149" i="7"/>
  <c r="G148" i="7"/>
  <c r="D148" i="7"/>
  <c r="C148" i="7"/>
  <c r="G147" i="7"/>
  <c r="D147" i="7"/>
  <c r="C147" i="7"/>
  <c r="G146" i="7"/>
  <c r="D146" i="7"/>
  <c r="C146" i="7"/>
  <c r="G145" i="7"/>
  <c r="D145" i="7"/>
  <c r="C145" i="7"/>
  <c r="G144" i="7"/>
  <c r="D144" i="7"/>
  <c r="C144" i="7"/>
  <c r="G143" i="7"/>
  <c r="D143" i="7"/>
  <c r="C143" i="7"/>
  <c r="G142" i="7"/>
  <c r="D142" i="7"/>
  <c r="C142" i="7"/>
  <c r="G141" i="7"/>
  <c r="D141" i="7"/>
  <c r="C141" i="7"/>
  <c r="G140" i="7"/>
  <c r="D140" i="7"/>
  <c r="C140" i="7"/>
  <c r="G139" i="7"/>
  <c r="D139" i="7"/>
  <c r="C139" i="7"/>
  <c r="G138" i="7"/>
  <c r="D138" i="7"/>
  <c r="C138" i="7"/>
  <c r="G137" i="7"/>
  <c r="D137" i="7"/>
  <c r="C137" i="7"/>
  <c r="G136" i="7"/>
  <c r="D136" i="7"/>
  <c r="C136" i="7"/>
  <c r="G135" i="7"/>
  <c r="D135" i="7"/>
  <c r="C135" i="7"/>
  <c r="G134" i="7"/>
  <c r="D134" i="7"/>
  <c r="C134" i="7"/>
  <c r="G133" i="7"/>
  <c r="D133" i="7"/>
  <c r="C133" i="7"/>
  <c r="G132" i="7"/>
  <c r="D132" i="7"/>
  <c r="C132" i="7"/>
  <c r="G131" i="7"/>
  <c r="D131" i="7"/>
  <c r="G130" i="7"/>
  <c r="D130" i="7"/>
  <c r="G128" i="7"/>
  <c r="D128" i="7"/>
  <c r="G127" i="7"/>
  <c r="D127" i="7"/>
  <c r="G126" i="7"/>
  <c r="D126" i="7"/>
  <c r="G125" i="7"/>
  <c r="D125" i="7"/>
  <c r="G124" i="7"/>
  <c r="D124" i="7"/>
  <c r="G123" i="7"/>
  <c r="D123" i="7"/>
  <c r="G122" i="7"/>
  <c r="D122" i="7"/>
  <c r="G121" i="7"/>
  <c r="D121" i="7"/>
  <c r="G120" i="7"/>
  <c r="D120" i="7"/>
  <c r="G119" i="7"/>
  <c r="D119" i="7"/>
  <c r="G118" i="7"/>
  <c r="D118" i="7"/>
  <c r="G117" i="7"/>
  <c r="D117" i="7"/>
  <c r="G116" i="7"/>
  <c r="D116" i="7"/>
  <c r="G115" i="7"/>
  <c r="D115" i="7"/>
  <c r="G114" i="7"/>
  <c r="D114" i="7"/>
  <c r="G113" i="7"/>
  <c r="D113" i="7"/>
  <c r="G112" i="7"/>
  <c r="D112" i="7"/>
  <c r="G111" i="7"/>
  <c r="D111" i="7"/>
  <c r="G110" i="7"/>
  <c r="D110" i="7"/>
  <c r="G109" i="7"/>
  <c r="D109" i="7"/>
  <c r="G108" i="7"/>
  <c r="D108" i="7"/>
  <c r="G107" i="7"/>
  <c r="D107" i="7"/>
  <c r="C107" i="7"/>
  <c r="D106" i="7"/>
  <c r="C106" i="7"/>
  <c r="G105" i="7"/>
  <c r="I105" i="7" s="1"/>
  <c r="D105" i="7"/>
  <c r="F105" i="7" s="1"/>
  <c r="C105" i="7"/>
  <c r="H104" i="7"/>
  <c r="G104" i="7"/>
  <c r="G103" i="7"/>
  <c r="D103" i="7"/>
  <c r="G102" i="7"/>
  <c r="D102" i="7"/>
  <c r="G101" i="7"/>
  <c r="G100" i="7"/>
  <c r="D100" i="7"/>
  <c r="G98" i="7"/>
  <c r="D98" i="7"/>
  <c r="C98" i="7"/>
  <c r="G97" i="7"/>
  <c r="D97" i="7"/>
  <c r="C97" i="7"/>
  <c r="G96" i="7"/>
  <c r="D96" i="7"/>
  <c r="C96" i="7"/>
  <c r="G95" i="7"/>
  <c r="D95" i="7"/>
  <c r="C95" i="7"/>
  <c r="G94" i="7"/>
  <c r="D94" i="7"/>
  <c r="C94" i="7"/>
  <c r="G93" i="7"/>
  <c r="D93" i="7"/>
  <c r="C93" i="7"/>
  <c r="G92" i="7"/>
  <c r="D92" i="7"/>
  <c r="C92" i="7"/>
  <c r="G91" i="7"/>
  <c r="D91" i="7"/>
  <c r="C91" i="7"/>
  <c r="G90" i="7"/>
  <c r="D90" i="7"/>
  <c r="C90" i="7"/>
  <c r="G89" i="7"/>
  <c r="D89" i="7"/>
  <c r="C89" i="7"/>
  <c r="G88" i="7"/>
  <c r="D88" i="7"/>
  <c r="C88" i="7"/>
  <c r="G87" i="7"/>
  <c r="D87" i="7"/>
  <c r="C87" i="7"/>
  <c r="G86" i="7"/>
  <c r="D86" i="7"/>
  <c r="C86" i="7"/>
  <c r="G85" i="7"/>
  <c r="D85" i="7"/>
  <c r="C85" i="7"/>
  <c r="G84" i="7"/>
  <c r="D84" i="7"/>
  <c r="C84" i="7"/>
  <c r="G83" i="7"/>
  <c r="D83" i="7"/>
  <c r="C83" i="7"/>
  <c r="G82" i="7"/>
  <c r="D82" i="7"/>
  <c r="C82" i="7"/>
  <c r="G81" i="7"/>
  <c r="D81" i="7"/>
  <c r="C81" i="7"/>
  <c r="G80" i="7"/>
  <c r="D80" i="7"/>
  <c r="C80" i="7"/>
  <c r="G79" i="7"/>
  <c r="D79" i="7"/>
  <c r="C79" i="7"/>
  <c r="G78" i="7"/>
  <c r="D78" i="7"/>
  <c r="C78" i="7"/>
  <c r="G77" i="7"/>
  <c r="D77" i="7"/>
  <c r="C77" i="7"/>
  <c r="G76" i="7"/>
  <c r="D76" i="7"/>
  <c r="C76" i="7"/>
  <c r="G75" i="7"/>
  <c r="D75" i="7"/>
  <c r="C75" i="7"/>
  <c r="G74" i="7"/>
  <c r="D74" i="7"/>
  <c r="C74" i="7"/>
  <c r="G73" i="7"/>
  <c r="D73" i="7"/>
  <c r="C73" i="7"/>
  <c r="G72" i="7"/>
  <c r="D72" i="7"/>
  <c r="C72" i="7"/>
  <c r="G71" i="7"/>
  <c r="D71" i="7"/>
  <c r="C71" i="7"/>
  <c r="G70" i="7"/>
  <c r="D70" i="7"/>
  <c r="C70" i="7"/>
  <c r="G69" i="7"/>
  <c r="D69" i="7"/>
  <c r="C69" i="7"/>
  <c r="G68" i="7"/>
  <c r="D68" i="7"/>
  <c r="C68" i="7"/>
  <c r="G67" i="7"/>
  <c r="D67" i="7"/>
  <c r="C67" i="7"/>
  <c r="G66" i="7"/>
  <c r="D66" i="7"/>
  <c r="C66" i="7"/>
  <c r="G65" i="7"/>
  <c r="D65" i="7"/>
  <c r="C65" i="7"/>
  <c r="G64" i="7"/>
  <c r="D64" i="7"/>
  <c r="C64" i="7"/>
  <c r="G63" i="7"/>
  <c r="D63" i="7"/>
  <c r="C63" i="7"/>
  <c r="G62" i="7"/>
  <c r="D62" i="7"/>
  <c r="C62" i="7"/>
  <c r="G61" i="7"/>
  <c r="D61" i="7"/>
  <c r="C61" i="7"/>
  <c r="G60" i="7"/>
  <c r="D60" i="7"/>
  <c r="C60" i="7"/>
  <c r="C59" i="7"/>
  <c r="C58" i="7"/>
  <c r="C57" i="7"/>
  <c r="C56" i="7"/>
  <c r="C55" i="7"/>
  <c r="C54" i="7"/>
  <c r="C53" i="7"/>
  <c r="C52" i="7"/>
  <c r="K49" i="7"/>
  <c r="G47" i="7"/>
  <c r="E47" i="7"/>
  <c r="K47" i="7" s="1"/>
  <c r="D47" i="7"/>
  <c r="G46" i="7"/>
  <c r="E46" i="7"/>
  <c r="K46" i="7" s="1"/>
  <c r="D46" i="7"/>
  <c r="G45" i="7"/>
  <c r="E45" i="7"/>
  <c r="K45" i="7" s="1"/>
  <c r="D45" i="7"/>
  <c r="K44" i="7"/>
  <c r="K43" i="7"/>
  <c r="K42" i="7"/>
  <c r="G39" i="7"/>
  <c r="D39" i="7"/>
  <c r="C39" i="7"/>
  <c r="G38" i="7"/>
  <c r="D38" i="7"/>
  <c r="C38" i="7"/>
  <c r="G37" i="7"/>
  <c r="D37" i="7"/>
  <c r="C37" i="7"/>
  <c r="G36" i="7"/>
  <c r="D36" i="7"/>
  <c r="C36" i="7"/>
  <c r="G35" i="7"/>
  <c r="D35" i="7"/>
  <c r="C35" i="7"/>
  <c r="G34" i="7"/>
  <c r="D34" i="7"/>
  <c r="C34" i="7"/>
  <c r="G33" i="7"/>
  <c r="D33" i="7"/>
  <c r="C33" i="7"/>
  <c r="G32" i="7"/>
  <c r="D32" i="7"/>
  <c r="C32" i="7"/>
  <c r="G31" i="7"/>
  <c r="D31" i="7"/>
  <c r="C31" i="7"/>
  <c r="G30" i="7"/>
  <c r="D30" i="7"/>
  <c r="C30" i="7"/>
  <c r="G29" i="7"/>
  <c r="D29" i="7"/>
  <c r="C29" i="7"/>
  <c r="G28" i="7"/>
  <c r="D28" i="7"/>
  <c r="C28" i="7"/>
  <c r="G27" i="7"/>
  <c r="D27" i="7"/>
  <c r="C27" i="7"/>
  <c r="G26" i="7"/>
  <c r="D26" i="7"/>
  <c r="C26" i="7"/>
  <c r="G25" i="7"/>
  <c r="D25" i="7"/>
  <c r="C25" i="7"/>
  <c r="G24" i="7"/>
  <c r="D24" i="7"/>
  <c r="C24" i="7"/>
  <c r="G23" i="7"/>
  <c r="D23" i="7"/>
  <c r="C23" i="7"/>
  <c r="G22" i="7"/>
  <c r="D22" i="7"/>
  <c r="C22" i="7"/>
  <c r="G21" i="7"/>
  <c r="D21" i="7"/>
  <c r="C21" i="7"/>
  <c r="G20" i="7"/>
  <c r="D20" i="7"/>
  <c r="C20" i="7"/>
  <c r="G19" i="7"/>
  <c r="D19" i="7"/>
  <c r="C19" i="7"/>
  <c r="G18" i="7"/>
  <c r="D18" i="7"/>
  <c r="C18" i="7"/>
  <c r="G17" i="7"/>
  <c r="D17" i="7"/>
  <c r="C17" i="7"/>
  <c r="G16" i="7"/>
  <c r="D16" i="7"/>
  <c r="C16" i="7"/>
  <c r="G14" i="7"/>
  <c r="D14" i="7"/>
  <c r="H12" i="7"/>
  <c r="G88" i="5"/>
  <c r="F88" i="5"/>
  <c r="F87" i="5" s="1"/>
  <c r="D88" i="5"/>
  <c r="D87" i="5" s="1"/>
  <c r="C88" i="5"/>
  <c r="C87" i="5"/>
  <c r="G86" i="5"/>
  <c r="F86" i="5"/>
  <c r="D86" i="5"/>
  <c r="C86" i="5"/>
  <c r="G85" i="5"/>
  <c r="F85" i="5"/>
  <c r="D85" i="5"/>
  <c r="C85" i="5"/>
  <c r="G84" i="5"/>
  <c r="F84" i="5"/>
  <c r="D84" i="5"/>
  <c r="C84" i="5"/>
  <c r="G81" i="5"/>
  <c r="F81" i="5"/>
  <c r="F80" i="5" s="1"/>
  <c r="D81" i="5"/>
  <c r="D80" i="5" s="1"/>
  <c r="C81" i="5"/>
  <c r="G79" i="5"/>
  <c r="F79" i="5"/>
  <c r="D79" i="5"/>
  <c r="C79" i="5"/>
  <c r="G78" i="5"/>
  <c r="F78" i="5"/>
  <c r="D78" i="5"/>
  <c r="C78" i="5"/>
  <c r="G77" i="5"/>
  <c r="F77" i="5"/>
  <c r="D77" i="5"/>
  <c r="C77" i="5"/>
  <c r="G75" i="5"/>
  <c r="D75" i="5"/>
  <c r="C75" i="5"/>
  <c r="G74" i="5"/>
  <c r="F74" i="5"/>
  <c r="D74" i="5"/>
  <c r="C74" i="5"/>
  <c r="G73" i="5"/>
  <c r="F73" i="5"/>
  <c r="D73" i="5"/>
  <c r="C73" i="5"/>
  <c r="G72" i="5"/>
  <c r="F72" i="5"/>
  <c r="D72" i="5"/>
  <c r="C72" i="5"/>
  <c r="G70" i="5"/>
  <c r="F70" i="5"/>
  <c r="D70" i="5"/>
  <c r="C70" i="5"/>
  <c r="G69" i="5"/>
  <c r="F69" i="5"/>
  <c r="D69" i="5"/>
  <c r="C69" i="5"/>
  <c r="G68" i="5"/>
  <c r="F68" i="5"/>
  <c r="D68" i="5"/>
  <c r="C68" i="5"/>
  <c r="G67" i="5"/>
  <c r="F67" i="5"/>
  <c r="D67" i="5"/>
  <c r="C67" i="5"/>
  <c r="G66" i="5"/>
  <c r="D66" i="5"/>
  <c r="C66" i="5"/>
  <c r="G63" i="5"/>
  <c r="F63" i="5"/>
  <c r="D63" i="5"/>
  <c r="G62" i="5"/>
  <c r="F62" i="5"/>
  <c r="D62" i="5"/>
  <c r="G61" i="5"/>
  <c r="F61" i="5"/>
  <c r="D61" i="5"/>
  <c r="C61" i="5"/>
  <c r="G60" i="5"/>
  <c r="F60" i="5"/>
  <c r="D60" i="5"/>
  <c r="C60" i="5"/>
  <c r="G59" i="5"/>
  <c r="F59" i="5"/>
  <c r="D59" i="5"/>
  <c r="C59" i="5"/>
  <c r="G58" i="5"/>
  <c r="F58" i="5"/>
  <c r="D58" i="5"/>
  <c r="C58" i="5"/>
  <c r="G56" i="5"/>
  <c r="F56" i="5"/>
  <c r="D56" i="5"/>
  <c r="C56" i="5"/>
  <c r="G55" i="5"/>
  <c r="F55" i="5"/>
  <c r="D55" i="5"/>
  <c r="C55" i="5"/>
  <c r="G54" i="5"/>
  <c r="F54" i="5"/>
  <c r="D54" i="5"/>
  <c r="C54" i="5"/>
  <c r="G53" i="5"/>
  <c r="F53" i="5"/>
  <c r="D53" i="5"/>
  <c r="C53" i="5"/>
  <c r="G52" i="5"/>
  <c r="F52" i="5"/>
  <c r="D52" i="5"/>
  <c r="C52" i="5"/>
  <c r="G51" i="5"/>
  <c r="F51" i="5"/>
  <c r="D51" i="5"/>
  <c r="C51" i="5"/>
  <c r="G49" i="5"/>
  <c r="F49" i="5"/>
  <c r="F48" i="5" s="1"/>
  <c r="D49" i="5"/>
  <c r="D48" i="5" s="1"/>
  <c r="C49" i="5"/>
  <c r="G47" i="5"/>
  <c r="F47" i="5"/>
  <c r="D47" i="5"/>
  <c r="C47" i="5"/>
  <c r="G46" i="5"/>
  <c r="F46" i="5"/>
  <c r="D46" i="5"/>
  <c r="C46" i="5"/>
  <c r="G45" i="5"/>
  <c r="F45" i="5"/>
  <c r="D45" i="5"/>
  <c r="C45" i="5"/>
  <c r="G44" i="5"/>
  <c r="F44" i="5"/>
  <c r="D44" i="5"/>
  <c r="C44" i="5"/>
  <c r="G43" i="5"/>
  <c r="F43" i="5"/>
  <c r="D43" i="5"/>
  <c r="C43" i="5"/>
  <c r="G42" i="5"/>
  <c r="F42" i="5"/>
  <c r="D42" i="5"/>
  <c r="C42" i="5"/>
  <c r="G40" i="5"/>
  <c r="F40" i="5"/>
  <c r="D40" i="5"/>
  <c r="C40" i="5"/>
  <c r="G39" i="5"/>
  <c r="F39" i="5"/>
  <c r="D39" i="5"/>
  <c r="C39" i="5"/>
  <c r="G38" i="5"/>
  <c r="F38" i="5"/>
  <c r="D38" i="5"/>
  <c r="C38" i="5"/>
  <c r="G37" i="5"/>
  <c r="F37" i="5"/>
  <c r="D37" i="5"/>
  <c r="C37" i="5"/>
  <c r="G36" i="5"/>
  <c r="F36" i="5"/>
  <c r="D36" i="5"/>
  <c r="C36" i="5"/>
  <c r="F34" i="5"/>
  <c r="D34" i="5"/>
  <c r="C34" i="5"/>
  <c r="G33" i="5"/>
  <c r="F33" i="5"/>
  <c r="D33" i="5"/>
  <c r="C33" i="5"/>
  <c r="G32" i="5"/>
  <c r="F32" i="5"/>
  <c r="D32" i="5"/>
  <c r="C32" i="5"/>
  <c r="G31" i="5"/>
  <c r="F31" i="5"/>
  <c r="D31" i="5"/>
  <c r="C31" i="5"/>
  <c r="G29" i="5"/>
  <c r="F29" i="5"/>
  <c r="D29" i="5"/>
  <c r="C29" i="5"/>
  <c r="G28" i="5"/>
  <c r="F28" i="5"/>
  <c r="D28" i="5"/>
  <c r="C28" i="5"/>
  <c r="G27" i="5"/>
  <c r="F27" i="5"/>
  <c r="D27" i="5"/>
  <c r="C27" i="5"/>
  <c r="G26" i="5"/>
  <c r="F26" i="5"/>
  <c r="D26" i="5"/>
  <c r="C26" i="5"/>
  <c r="G25" i="5"/>
  <c r="F25" i="5"/>
  <c r="D25" i="5"/>
  <c r="C25" i="5"/>
  <c r="G23" i="5"/>
  <c r="F23" i="5"/>
  <c r="D23" i="5"/>
  <c r="C23" i="5"/>
  <c r="G22" i="5"/>
  <c r="F22" i="5"/>
  <c r="D22" i="5"/>
  <c r="C22" i="5"/>
  <c r="G21" i="5"/>
  <c r="F21" i="5"/>
  <c r="D21" i="5"/>
  <c r="C21" i="5"/>
  <c r="G20" i="5"/>
  <c r="F20" i="5"/>
  <c r="D20" i="5"/>
  <c r="C20" i="5"/>
  <c r="G19" i="5"/>
  <c r="F19" i="5"/>
  <c r="D19" i="5"/>
  <c r="C19" i="5"/>
  <c r="G18" i="5"/>
  <c r="F18" i="5"/>
  <c r="D18" i="5"/>
  <c r="C18" i="5"/>
  <c r="G16" i="5"/>
  <c r="F16" i="5"/>
  <c r="D16" i="5"/>
  <c r="C16" i="5"/>
  <c r="G15" i="5"/>
  <c r="F15" i="5"/>
  <c r="D15" i="5"/>
  <c r="C15" i="5"/>
  <c r="G14" i="5"/>
  <c r="F14" i="5"/>
  <c r="D14" i="5"/>
  <c r="C14" i="5"/>
  <c r="G13" i="5"/>
  <c r="F13" i="5"/>
  <c r="D13" i="5"/>
  <c r="C13" i="5"/>
  <c r="G12" i="5"/>
  <c r="F12" i="5"/>
  <c r="D12" i="5"/>
  <c r="C12" i="5"/>
  <c r="G11" i="5"/>
  <c r="F11" i="5"/>
  <c r="D11" i="5"/>
  <c r="C11" i="5"/>
  <c r="G10" i="5"/>
  <c r="F10" i="5"/>
  <c r="C10" i="5"/>
  <c r="G9" i="5"/>
  <c r="D9" i="5"/>
  <c r="C9" i="5"/>
  <c r="AA131" i="3"/>
  <c r="G131" i="3"/>
  <c r="G126" i="3" s="1"/>
  <c r="G125" i="3" s="1"/>
  <c r="AH18" i="3" s="1"/>
  <c r="D131" i="3"/>
  <c r="AA123" i="3"/>
  <c r="AC123" i="3" s="1"/>
  <c r="G123" i="3"/>
  <c r="D123" i="3"/>
  <c r="F123" i="3" s="1"/>
  <c r="G119" i="3"/>
  <c r="F119" i="3"/>
  <c r="G112" i="3"/>
  <c r="G102" i="3"/>
  <c r="AA102" i="3" s="1"/>
  <c r="AC102" i="3" s="1"/>
  <c r="G98" i="3"/>
  <c r="AC92" i="3"/>
  <c r="AC88" i="3"/>
  <c r="AA85" i="3"/>
  <c r="AC85" i="3" s="1"/>
  <c r="AA84" i="3"/>
  <c r="AC84" i="3" s="1"/>
  <c r="AA83" i="3"/>
  <c r="AC83" i="3" s="1"/>
  <c r="AA72" i="3"/>
  <c r="AC72" i="3" s="1"/>
  <c r="G71" i="3"/>
  <c r="AA69" i="3"/>
  <c r="AC69" i="3" s="1"/>
  <c r="AA68" i="3"/>
  <c r="AC68" i="3" s="1"/>
  <c r="AA63" i="3"/>
  <c r="G62" i="3"/>
  <c r="G59" i="3"/>
  <c r="D59" i="3"/>
  <c r="AA54" i="3"/>
  <c r="AC54" i="3" s="1"/>
  <c r="AC53" i="3"/>
  <c r="AC52" i="3"/>
  <c r="AC51" i="3"/>
  <c r="AC50" i="3"/>
  <c r="AC49" i="3"/>
  <c r="AC47" i="3"/>
  <c r="AC46" i="3"/>
  <c r="AA45" i="3"/>
  <c r="AC45" i="3" s="1"/>
  <c r="AC42" i="3"/>
  <c r="AC41" i="3"/>
  <c r="AC40" i="3"/>
  <c r="AC39" i="3"/>
  <c r="AC38" i="3"/>
  <c r="AC37" i="3"/>
  <c r="AC36" i="3"/>
  <c r="AC31" i="3"/>
  <c r="AC30" i="3"/>
  <c r="AC28" i="3"/>
  <c r="AC24" i="3"/>
  <c r="AC23" i="3"/>
  <c r="AC22" i="3"/>
  <c r="AC20" i="3"/>
  <c r="AC19" i="3"/>
  <c r="AC18" i="3"/>
  <c r="AH16" i="3"/>
  <c r="AG16" i="3"/>
  <c r="G16" i="3"/>
  <c r="G15" i="3" s="1"/>
  <c r="AH15" i="3"/>
  <c r="AG15" i="3"/>
  <c r="AH14" i="3"/>
  <c r="AG14" i="3"/>
  <c r="AH11" i="3"/>
  <c r="AG11" i="3"/>
  <c r="P769" i="8" l="1"/>
  <c r="P785" i="8" s="1"/>
  <c r="H785" i="8"/>
  <c r="M9" i="5"/>
  <c r="L58" i="3"/>
  <c r="AA98" i="3"/>
  <c r="F62" i="3"/>
  <c r="O1017" i="8"/>
  <c r="O1016" i="8"/>
  <c r="Q1017" i="8"/>
  <c r="Q1016" i="8"/>
  <c r="K1017" i="8"/>
  <c r="K1016" i="8"/>
  <c r="P1016" i="8"/>
  <c r="K14" i="3"/>
  <c r="K133" i="3" s="1"/>
  <c r="P1669" i="8"/>
  <c r="S1651" i="8"/>
  <c r="Q855" i="8"/>
  <c r="S855" i="8" s="1"/>
  <c r="D65" i="6"/>
  <c r="J65" i="6" s="1"/>
  <c r="AB14" i="3"/>
  <c r="AB133" i="3" s="1"/>
  <c r="D129" i="7"/>
  <c r="F130" i="7"/>
  <c r="O1503" i="8"/>
  <c r="C45" i="6"/>
  <c r="J825" i="8"/>
  <c r="F200" i="7"/>
  <c r="J200" i="7"/>
  <c r="P1708" i="8"/>
  <c r="P1699" i="8"/>
  <c r="P1718" i="8" s="1"/>
  <c r="H307" i="8"/>
  <c r="P307" i="8" s="1"/>
  <c r="J106" i="7"/>
  <c r="L106" i="7" s="1"/>
  <c r="F106" i="7"/>
  <c r="M1569" i="8"/>
  <c r="M1791" i="8" s="1"/>
  <c r="I1708" i="8"/>
  <c r="I1699" i="8"/>
  <c r="H1708" i="8"/>
  <c r="H1699" i="8"/>
  <c r="I123" i="6"/>
  <c r="K123" i="6" s="1"/>
  <c r="J105" i="7"/>
  <c r="L105" i="7" s="1"/>
  <c r="H99" i="7"/>
  <c r="K104" i="7"/>
  <c r="G99" i="7"/>
  <c r="R855" i="8"/>
  <c r="S1007" i="8"/>
  <c r="Q1005" i="8"/>
  <c r="S1005" i="8" s="1"/>
  <c r="G344" i="7"/>
  <c r="D344" i="7"/>
  <c r="L1563" i="8"/>
  <c r="L1579" i="8" s="1"/>
  <c r="O1563" i="8"/>
  <c r="H1560" i="8"/>
  <c r="M1563" i="8"/>
  <c r="M1560" i="8"/>
  <c r="S1813" i="8"/>
  <c r="S1814" i="8"/>
  <c r="I118" i="6"/>
  <c r="G248" i="7"/>
  <c r="I346" i="7"/>
  <c r="I347" i="7"/>
  <c r="I348" i="7"/>
  <c r="I1432" i="8"/>
  <c r="H344" i="7"/>
  <c r="I345" i="7"/>
  <c r="J9" i="5"/>
  <c r="C57" i="5"/>
  <c r="C63" i="5"/>
  <c r="I63" i="5" s="1"/>
  <c r="I1661" i="8"/>
  <c r="I1679" i="8" s="1"/>
  <c r="AC87" i="3"/>
  <c r="AA86" i="3"/>
  <c r="AC86" i="3" s="1"/>
  <c r="F11" i="6"/>
  <c r="G11" i="6"/>
  <c r="F15" i="3"/>
  <c r="L1008" i="8"/>
  <c r="I91" i="6"/>
  <c r="K375" i="8"/>
  <c r="K391" i="8" s="1"/>
  <c r="K373" i="8"/>
  <c r="O357" i="8"/>
  <c r="O375" i="8" s="1"/>
  <c r="L373" i="8"/>
  <c r="P357" i="8"/>
  <c r="I717" i="8"/>
  <c r="E526" i="7" s="1"/>
  <c r="I785" i="8"/>
  <c r="M717" i="8"/>
  <c r="H526" i="7" s="1"/>
  <c r="G118" i="3"/>
  <c r="AH17" i="3" s="1"/>
  <c r="E607" i="7"/>
  <c r="K607" i="7" s="1"/>
  <c r="I307" i="8"/>
  <c r="L717" i="8"/>
  <c r="G526" i="7" s="1"/>
  <c r="I618" i="8"/>
  <c r="H605" i="7"/>
  <c r="G605" i="7"/>
  <c r="R152" i="8"/>
  <c r="M276" i="8"/>
  <c r="M303" i="8" s="1"/>
  <c r="M375" i="8"/>
  <c r="Q375" i="8" s="1"/>
  <c r="G419" i="7"/>
  <c r="C44" i="6"/>
  <c r="E609" i="7"/>
  <c r="F610" i="7"/>
  <c r="L276" i="8"/>
  <c r="L375" i="8"/>
  <c r="P683" i="8"/>
  <c r="P699" i="8" s="1"/>
  <c r="H1432" i="8"/>
  <c r="D416" i="7" s="1"/>
  <c r="M600" i="8"/>
  <c r="M602" i="8"/>
  <c r="M618" i="8" s="1"/>
  <c r="C36" i="6"/>
  <c r="I36" i="6" s="1"/>
  <c r="H717" i="8"/>
  <c r="D526" i="7" s="1"/>
  <c r="H294" i="8"/>
  <c r="D606" i="7" s="1"/>
  <c r="I144" i="6"/>
  <c r="K470" i="7"/>
  <c r="K471" i="7"/>
  <c r="K472" i="7"/>
  <c r="K532" i="7"/>
  <c r="J470" i="7"/>
  <c r="J471" i="7"/>
  <c r="J472" i="7"/>
  <c r="J532" i="7"/>
  <c r="I49" i="6"/>
  <c r="K49" i="6" s="1"/>
  <c r="F99" i="6"/>
  <c r="K417" i="7"/>
  <c r="J14" i="3"/>
  <c r="J417" i="7"/>
  <c r="I130" i="6"/>
  <c r="H114" i="8"/>
  <c r="J346" i="7"/>
  <c r="J348" i="7"/>
  <c r="C99" i="6"/>
  <c r="E99" i="6" s="1"/>
  <c r="I142" i="6"/>
  <c r="J1033" i="8"/>
  <c r="R1007" i="8"/>
  <c r="I1008" i="8"/>
  <c r="M1008" i="8"/>
  <c r="N1008" i="8" s="1"/>
  <c r="J198" i="7"/>
  <c r="L198" i="7" s="1"/>
  <c r="G94" i="6"/>
  <c r="D83" i="5"/>
  <c r="D82" i="5" s="1"/>
  <c r="G48" i="7"/>
  <c r="O445" i="8"/>
  <c r="O442" i="8"/>
  <c r="I442" i="8"/>
  <c r="D95" i="6" s="1"/>
  <c r="I444" i="8"/>
  <c r="I465" i="8" s="1"/>
  <c r="I1323" i="8" s="1"/>
  <c r="I1785" i="8" s="1"/>
  <c r="K440" i="8"/>
  <c r="H444" i="8"/>
  <c r="H465" i="8" s="1"/>
  <c r="H442" i="8"/>
  <c r="C95" i="6" s="1"/>
  <c r="I95" i="6" s="1"/>
  <c r="P440" i="8"/>
  <c r="Q440" i="8"/>
  <c r="M444" i="8"/>
  <c r="M442" i="8"/>
  <c r="K346" i="7"/>
  <c r="K348" i="7"/>
  <c r="K347" i="7"/>
  <c r="D35" i="5"/>
  <c r="G533" i="7"/>
  <c r="S1725" i="8"/>
  <c r="S1728" i="8"/>
  <c r="D76" i="5"/>
  <c r="S22" i="8"/>
  <c r="S24" i="8"/>
  <c r="S26" i="8"/>
  <c r="S28" i="8"/>
  <c r="S30" i="8"/>
  <c r="S33" i="8"/>
  <c r="S35" i="8"/>
  <c r="S37" i="8"/>
  <c r="S39" i="8"/>
  <c r="S41" i="8"/>
  <c r="S43" i="8"/>
  <c r="S45" i="8"/>
  <c r="S47" i="8"/>
  <c r="S49" i="8"/>
  <c r="S51" i="8"/>
  <c r="S53" i="8"/>
  <c r="L134" i="8"/>
  <c r="L311" i="8"/>
  <c r="D535" i="7"/>
  <c r="D608" i="7"/>
  <c r="M1034" i="8"/>
  <c r="S1356" i="8"/>
  <c r="S1358" i="8"/>
  <c r="S1360" i="8"/>
  <c r="S1362" i="8"/>
  <c r="S1364" i="8"/>
  <c r="S1366" i="8"/>
  <c r="S1368" i="8"/>
  <c r="S1370" i="8"/>
  <c r="S1372" i="8"/>
  <c r="S1373" i="8"/>
  <c r="S1374" i="8"/>
  <c r="S1375" i="8"/>
  <c r="S1376" i="8"/>
  <c r="S1377" i="8"/>
  <c r="S1378" i="8"/>
  <c r="S1379" i="8"/>
  <c r="R1380" i="8"/>
  <c r="R1381" i="8"/>
  <c r="R1382" i="8"/>
  <c r="R1384" i="8"/>
  <c r="R1385" i="8"/>
  <c r="R1386" i="8"/>
  <c r="J1398" i="8"/>
  <c r="I1414" i="8"/>
  <c r="D119" i="6" s="1"/>
  <c r="D117" i="6" s="1"/>
  <c r="R1503" i="8"/>
  <c r="R1521" i="8" s="1"/>
  <c r="J176" i="7"/>
  <c r="K345" i="7"/>
  <c r="C127" i="6"/>
  <c r="I127" i="6" s="1"/>
  <c r="Q602" i="8"/>
  <c r="Q618" i="8" s="1"/>
  <c r="O701" i="8"/>
  <c r="O717" i="8" s="1"/>
  <c r="Q701" i="8"/>
  <c r="Q717" i="8" s="1"/>
  <c r="S1617" i="8"/>
  <c r="S1619" i="8"/>
  <c r="R1621" i="8"/>
  <c r="C126" i="6"/>
  <c r="R1814" i="8"/>
  <c r="R14" i="3"/>
  <c r="R133" i="3" s="1"/>
  <c r="F59" i="3"/>
  <c r="D58" i="3"/>
  <c r="D14" i="3" s="1"/>
  <c r="D98" i="6"/>
  <c r="J98" i="6" s="1"/>
  <c r="E175" i="7"/>
  <c r="E174" i="7" s="1"/>
  <c r="O278" i="8"/>
  <c r="Q278" i="8"/>
  <c r="Q294" i="8" s="1"/>
  <c r="S202" i="8"/>
  <c r="S204" i="8"/>
  <c r="S206" i="8"/>
  <c r="S208" i="8"/>
  <c r="S210" i="8"/>
  <c r="S212" i="8"/>
  <c r="S214" i="8"/>
  <c r="S216" i="8"/>
  <c r="S218" i="8"/>
  <c r="S220" i="8"/>
  <c r="S222" i="8"/>
  <c r="S224" i="8"/>
  <c r="S226" i="8"/>
  <c r="S228" i="8"/>
  <c r="S230" i="8"/>
  <c r="S232" i="8"/>
  <c r="S234" i="8"/>
  <c r="S236" i="8"/>
  <c r="C96" i="6"/>
  <c r="R438" i="8"/>
  <c r="J440" i="8"/>
  <c r="R523" i="8"/>
  <c r="R525" i="8"/>
  <c r="R527" i="8"/>
  <c r="R529" i="8"/>
  <c r="R531" i="8"/>
  <c r="R533" i="8"/>
  <c r="R535" i="8"/>
  <c r="R537" i="8"/>
  <c r="R539" i="8"/>
  <c r="R541" i="8"/>
  <c r="R546" i="8"/>
  <c r="R548" i="8"/>
  <c r="R550" i="8"/>
  <c r="R552" i="8"/>
  <c r="R554" i="8"/>
  <c r="R556" i="8"/>
  <c r="R558" i="8"/>
  <c r="R560" i="8"/>
  <c r="R562" i="8"/>
  <c r="R564" i="8"/>
  <c r="R566" i="8"/>
  <c r="R568" i="8"/>
  <c r="R570" i="8"/>
  <c r="R572" i="8"/>
  <c r="R574" i="8"/>
  <c r="R576" i="8"/>
  <c r="O683" i="8"/>
  <c r="O699" i="8" s="1"/>
  <c r="Q683" i="8"/>
  <c r="Q699" i="8" s="1"/>
  <c r="L797" i="8"/>
  <c r="G13" i="7" s="1"/>
  <c r="G12" i="7" s="1"/>
  <c r="I1034" i="8"/>
  <c r="L1034" i="8"/>
  <c r="O1019" i="8"/>
  <c r="I1020" i="8"/>
  <c r="S1357" i="8"/>
  <c r="S1359" i="8"/>
  <c r="S1361" i="8"/>
  <c r="S1363" i="8"/>
  <c r="S1365" i="8"/>
  <c r="S1367" i="8"/>
  <c r="S1369" i="8"/>
  <c r="S1371" i="8"/>
  <c r="R1445" i="8"/>
  <c r="R1446" i="8"/>
  <c r="R1447" i="8"/>
  <c r="S1448" i="8"/>
  <c r="S1586" i="8"/>
  <c r="S1590" i="8"/>
  <c r="S1592" i="8"/>
  <c r="S1600" i="8"/>
  <c r="S1602" i="8"/>
  <c r="S1604" i="8"/>
  <c r="S1606" i="8"/>
  <c r="S1608" i="8"/>
  <c r="S1610" i="8"/>
  <c r="S1612" i="8"/>
  <c r="S1614" i="8"/>
  <c r="S1616" i="8"/>
  <c r="D250" i="7"/>
  <c r="J250" i="7" s="1"/>
  <c r="S1726" i="8"/>
  <c r="J1019" i="8"/>
  <c r="J1020" i="8" s="1"/>
  <c r="Q1019" i="8"/>
  <c r="M1020" i="8"/>
  <c r="H158" i="7" s="1"/>
  <c r="H156" i="7" s="1"/>
  <c r="M1513" i="8"/>
  <c r="E99" i="7"/>
  <c r="I88" i="5"/>
  <c r="I35" i="16" s="1"/>
  <c r="I72" i="5"/>
  <c r="F83" i="5"/>
  <c r="F82" i="5" s="1"/>
  <c r="O785" i="8"/>
  <c r="G538" i="7"/>
  <c r="J538" i="7" s="1"/>
  <c r="I74" i="5"/>
  <c r="D71" i="5"/>
  <c r="F65" i="5"/>
  <c r="J44" i="7"/>
  <c r="L44" i="7" s="1"/>
  <c r="F41" i="5"/>
  <c r="J42" i="7"/>
  <c r="L42" i="7" s="1"/>
  <c r="J46" i="7"/>
  <c r="L46" i="7" s="1"/>
  <c r="D57" i="5"/>
  <c r="J177" i="7"/>
  <c r="D8" i="5"/>
  <c r="F76" i="5"/>
  <c r="G312" i="7"/>
  <c r="J178" i="7"/>
  <c r="J159" i="7"/>
  <c r="J161" i="7"/>
  <c r="J163" i="7"/>
  <c r="J165" i="7"/>
  <c r="J167" i="7"/>
  <c r="J169" i="7"/>
  <c r="J171" i="7"/>
  <c r="J173" i="7"/>
  <c r="G469" i="7"/>
  <c r="S354" i="8"/>
  <c r="G17" i="5"/>
  <c r="J75" i="5"/>
  <c r="O98" i="8"/>
  <c r="O114" i="8" s="1"/>
  <c r="G70" i="3"/>
  <c r="I70" i="3" s="1"/>
  <c r="K260" i="8"/>
  <c r="K276" i="8" s="1"/>
  <c r="P260" i="8"/>
  <c r="P276" i="8" s="1"/>
  <c r="R1725" i="8"/>
  <c r="R1586" i="8"/>
  <c r="R1591" i="8"/>
  <c r="R1592" i="8"/>
  <c r="R1601" i="8"/>
  <c r="R1602" i="8"/>
  <c r="R1605" i="8"/>
  <c r="R1606" i="8"/>
  <c r="R1609" i="8"/>
  <c r="R1610" i="8"/>
  <c r="R1613" i="8"/>
  <c r="R1614" i="8"/>
  <c r="S1620" i="8"/>
  <c r="R1363" i="8"/>
  <c r="R1367" i="8"/>
  <c r="R1371" i="8"/>
  <c r="H1034" i="8"/>
  <c r="C17" i="5"/>
  <c r="J45" i="7"/>
  <c r="L45" i="7" s="1"/>
  <c r="J49" i="7"/>
  <c r="J43" i="7"/>
  <c r="L43" i="7" s="1"/>
  <c r="J47" i="7"/>
  <c r="L47" i="7" s="1"/>
  <c r="F17" i="5"/>
  <c r="J539" i="7"/>
  <c r="J541" i="7"/>
  <c r="J543" i="7"/>
  <c r="J545" i="7"/>
  <c r="J555" i="7"/>
  <c r="J557" i="7"/>
  <c r="J559" i="7"/>
  <c r="J561" i="7"/>
  <c r="J563" i="7"/>
  <c r="J565" i="7"/>
  <c r="J567" i="7"/>
  <c r="J569" i="7"/>
  <c r="J571" i="7"/>
  <c r="J579" i="7"/>
  <c r="J581" i="7"/>
  <c r="J583" i="7"/>
  <c r="J585" i="7"/>
  <c r="J587" i="7"/>
  <c r="J589" i="7"/>
  <c r="J591" i="7"/>
  <c r="J593" i="7"/>
  <c r="J595" i="7"/>
  <c r="J597" i="7"/>
  <c r="J599" i="7"/>
  <c r="J601" i="7"/>
  <c r="J603" i="7"/>
  <c r="C41" i="5"/>
  <c r="C65" i="5"/>
  <c r="C50" i="5"/>
  <c r="H134" i="8"/>
  <c r="H158" i="8" s="1"/>
  <c r="C11" i="6"/>
  <c r="J855" i="8"/>
  <c r="E469" i="7"/>
  <c r="K469" i="7" s="1"/>
  <c r="D11" i="6"/>
  <c r="R1728" i="8"/>
  <c r="R1587" i="8"/>
  <c r="R1589" i="8"/>
  <c r="R1590" i="8"/>
  <c r="R1593" i="8"/>
  <c r="R1599" i="8"/>
  <c r="R1600" i="8"/>
  <c r="R1603" i="8"/>
  <c r="R1604" i="8"/>
  <c r="R1607" i="8"/>
  <c r="R1608" i="8"/>
  <c r="R1611" i="8"/>
  <c r="R1612" i="8"/>
  <c r="R1615" i="8"/>
  <c r="R1616" i="8"/>
  <c r="P1645" i="8"/>
  <c r="S1449" i="8"/>
  <c r="R1357" i="8"/>
  <c r="R1361" i="8"/>
  <c r="R1365" i="8"/>
  <c r="R1369" i="8"/>
  <c r="I56" i="5"/>
  <c r="I28" i="5"/>
  <c r="I33" i="5"/>
  <c r="I40" i="5"/>
  <c r="I43" i="5"/>
  <c r="I45" i="5"/>
  <c r="I55" i="5"/>
  <c r="I60" i="5"/>
  <c r="I62" i="5"/>
  <c r="I68" i="5"/>
  <c r="I78" i="5"/>
  <c r="I81" i="5"/>
  <c r="I25" i="5"/>
  <c r="I27" i="5"/>
  <c r="I29" i="5"/>
  <c r="I32" i="5"/>
  <c r="I37" i="5"/>
  <c r="I39" i="5"/>
  <c r="I44" i="5"/>
  <c r="F57" i="5"/>
  <c r="I59" i="5"/>
  <c r="I69" i="5"/>
  <c r="I77" i="5"/>
  <c r="I79" i="5"/>
  <c r="J386" i="7"/>
  <c r="J388" i="7"/>
  <c r="J390" i="7"/>
  <c r="J392" i="7"/>
  <c r="J394" i="7"/>
  <c r="J396" i="7"/>
  <c r="J398" i="7"/>
  <c r="J400" i="7"/>
  <c r="J402" i="7"/>
  <c r="J404" i="7"/>
  <c r="J406" i="7"/>
  <c r="J408" i="7"/>
  <c r="J410" i="7"/>
  <c r="J412" i="7"/>
  <c r="J414" i="7"/>
  <c r="J452" i="7"/>
  <c r="J454" i="7"/>
  <c r="J456" i="7"/>
  <c r="J458" i="7"/>
  <c r="J460" i="7"/>
  <c r="J462" i="7"/>
  <c r="J464" i="7"/>
  <c r="J466" i="7"/>
  <c r="J468" i="7"/>
  <c r="I10" i="5"/>
  <c r="I12" i="5"/>
  <c r="I14" i="5"/>
  <c r="I16" i="5"/>
  <c r="J14" i="7"/>
  <c r="J17" i="7"/>
  <c r="J19" i="7"/>
  <c r="J21" i="7"/>
  <c r="J23" i="7"/>
  <c r="J25" i="7"/>
  <c r="J27" i="7"/>
  <c r="J29" i="7"/>
  <c r="J31" i="7"/>
  <c r="J33" i="7"/>
  <c r="J35" i="7"/>
  <c r="J37" i="7"/>
  <c r="J39" i="7"/>
  <c r="J61" i="7"/>
  <c r="J63" i="7"/>
  <c r="J65" i="7"/>
  <c r="J67" i="7"/>
  <c r="J69" i="7"/>
  <c r="J71" i="7"/>
  <c r="J73" i="7"/>
  <c r="J75" i="7"/>
  <c r="J77" i="7"/>
  <c r="J79" i="7"/>
  <c r="J81" i="7"/>
  <c r="J83" i="7"/>
  <c r="J85" i="7"/>
  <c r="J87" i="7"/>
  <c r="J89" i="7"/>
  <c r="J91" i="7"/>
  <c r="J93" i="7"/>
  <c r="J95" i="7"/>
  <c r="J97" i="7"/>
  <c r="J100" i="7"/>
  <c r="L100" i="7" s="1"/>
  <c r="J102" i="7"/>
  <c r="L102" i="7" s="1"/>
  <c r="J103" i="7"/>
  <c r="L103" i="7" s="1"/>
  <c r="I11" i="5"/>
  <c r="I13" i="5"/>
  <c r="I15" i="5"/>
  <c r="G129" i="7"/>
  <c r="J132" i="7"/>
  <c r="J134" i="7"/>
  <c r="J136" i="7"/>
  <c r="J138" i="7"/>
  <c r="J140" i="7"/>
  <c r="J142" i="7"/>
  <c r="J144" i="7"/>
  <c r="J146" i="7"/>
  <c r="J148" i="7"/>
  <c r="J150" i="7"/>
  <c r="J152" i="7"/>
  <c r="J154" i="7"/>
  <c r="J181" i="7"/>
  <c r="J183" i="7"/>
  <c r="J185" i="7"/>
  <c r="J187" i="7"/>
  <c r="J189" i="7"/>
  <c r="J191" i="7"/>
  <c r="J193" i="7"/>
  <c r="J202" i="7"/>
  <c r="J204" i="7"/>
  <c r="J206" i="7"/>
  <c r="J208" i="7"/>
  <c r="J210" i="7"/>
  <c r="J212" i="7"/>
  <c r="J214" i="7"/>
  <c r="J216" i="7"/>
  <c r="J218" i="7"/>
  <c r="J220" i="7"/>
  <c r="J222" i="7"/>
  <c r="J224" i="7"/>
  <c r="J226" i="7"/>
  <c r="J228" i="7"/>
  <c r="J230" i="7"/>
  <c r="J232" i="7"/>
  <c r="J234" i="7"/>
  <c r="J236" i="7"/>
  <c r="J238" i="7"/>
  <c r="J240" i="7"/>
  <c r="J242" i="7"/>
  <c r="J244" i="7"/>
  <c r="J246" i="7"/>
  <c r="G280" i="7"/>
  <c r="J284" i="7"/>
  <c r="J286" i="7"/>
  <c r="J288" i="7"/>
  <c r="J290" i="7"/>
  <c r="J292" i="7"/>
  <c r="J294" i="7"/>
  <c r="J296" i="7"/>
  <c r="J298" i="7"/>
  <c r="J300" i="7"/>
  <c r="J302" i="7"/>
  <c r="J304" i="7"/>
  <c r="J306" i="7"/>
  <c r="J308" i="7"/>
  <c r="J310" i="7"/>
  <c r="J315" i="7"/>
  <c r="J317" i="7"/>
  <c r="J319" i="7"/>
  <c r="J321" i="7"/>
  <c r="J323" i="7"/>
  <c r="J325" i="7"/>
  <c r="J327" i="7"/>
  <c r="J329" i="7"/>
  <c r="J331" i="7"/>
  <c r="J333" i="7"/>
  <c r="J335" i="7"/>
  <c r="J337" i="7"/>
  <c r="J339" i="7"/>
  <c r="J341" i="7"/>
  <c r="J343" i="7"/>
  <c r="J354" i="7"/>
  <c r="J356" i="7"/>
  <c r="J358" i="7"/>
  <c r="J360" i="7"/>
  <c r="J362" i="7"/>
  <c r="J364" i="7"/>
  <c r="J366" i="7"/>
  <c r="J368" i="7"/>
  <c r="J370" i="7"/>
  <c r="J372" i="7"/>
  <c r="J374" i="7"/>
  <c r="J376" i="7"/>
  <c r="J378" i="7"/>
  <c r="J380" i="7"/>
  <c r="K793" i="8"/>
  <c r="K794" i="8" s="1"/>
  <c r="H797" i="8"/>
  <c r="D13" i="7" s="1"/>
  <c r="D12" i="7" s="1"/>
  <c r="S791" i="8"/>
  <c r="S796" i="8" s="1"/>
  <c r="P793" i="8"/>
  <c r="P794" i="8" s="1"/>
  <c r="K701" i="8"/>
  <c r="P701" i="8"/>
  <c r="P717" i="8" s="1"/>
  <c r="C80" i="5"/>
  <c r="I80" i="5" s="1"/>
  <c r="S524" i="8"/>
  <c r="S526" i="8"/>
  <c r="S528" i="8"/>
  <c r="S530" i="8"/>
  <c r="S532" i="8"/>
  <c r="S534" i="8"/>
  <c r="S536" i="8"/>
  <c r="S538" i="8"/>
  <c r="S540" i="8"/>
  <c r="S545" i="8"/>
  <c r="S547" i="8"/>
  <c r="S549" i="8"/>
  <c r="S551" i="8"/>
  <c r="S553" i="8"/>
  <c r="S555" i="8"/>
  <c r="S557" i="8"/>
  <c r="S559" i="8"/>
  <c r="S561" i="8"/>
  <c r="S563" i="8"/>
  <c r="S565" i="8"/>
  <c r="S567" i="8"/>
  <c r="S571" i="8"/>
  <c r="S573" i="8"/>
  <c r="S575" i="8"/>
  <c r="S577" i="8"/>
  <c r="K278" i="8"/>
  <c r="R205" i="8"/>
  <c r="R207" i="8"/>
  <c r="R209" i="8"/>
  <c r="R211" i="8"/>
  <c r="R213" i="8"/>
  <c r="R215" i="8"/>
  <c r="R217" i="8"/>
  <c r="R219" i="8"/>
  <c r="R221" i="8"/>
  <c r="R223" i="8"/>
  <c r="R225" i="8"/>
  <c r="R227" i="8"/>
  <c r="R229" i="8"/>
  <c r="R231" i="8"/>
  <c r="R233" i="8"/>
  <c r="R235" i="8"/>
  <c r="J278" i="8"/>
  <c r="J294" i="8" s="1"/>
  <c r="K98" i="8"/>
  <c r="K114" i="8" s="1"/>
  <c r="P98" i="8"/>
  <c r="R21" i="8"/>
  <c r="R23" i="8"/>
  <c r="R25" i="8"/>
  <c r="R27" i="8"/>
  <c r="R29" i="8"/>
  <c r="R31" i="8"/>
  <c r="R32" i="8"/>
  <c r="R34" i="8"/>
  <c r="R36" i="8"/>
  <c r="R38" i="8"/>
  <c r="R40" i="8"/>
  <c r="R42" i="8"/>
  <c r="R44" i="8"/>
  <c r="R46" i="8"/>
  <c r="R48" i="8"/>
  <c r="R50" i="8"/>
  <c r="R52" i="8"/>
  <c r="AA32" i="3"/>
  <c r="AC33" i="3"/>
  <c r="AC63" i="3"/>
  <c r="AA62" i="3"/>
  <c r="AA58" i="3" s="1"/>
  <c r="F8" i="5"/>
  <c r="F24" i="5"/>
  <c r="F35" i="5"/>
  <c r="I87" i="5"/>
  <c r="J16" i="7"/>
  <c r="J18" i="7"/>
  <c r="J20" i="7"/>
  <c r="J22" i="7"/>
  <c r="J24" i="7"/>
  <c r="J26" i="7"/>
  <c r="J28" i="7"/>
  <c r="J30" i="7"/>
  <c r="J32" i="7"/>
  <c r="J34" i="7"/>
  <c r="J36" i="7"/>
  <c r="J38" i="7"/>
  <c r="E48" i="7"/>
  <c r="K48" i="7" s="1"/>
  <c r="Q778" i="8"/>
  <c r="M828" i="8"/>
  <c r="AI11" i="3"/>
  <c r="AA34" i="3"/>
  <c r="AC35" i="3"/>
  <c r="AA55" i="3"/>
  <c r="AC55" i="3" s="1"/>
  <c r="AC56" i="3"/>
  <c r="AC98" i="3"/>
  <c r="AC101" i="3"/>
  <c r="D125" i="3"/>
  <c r="AG18" i="3" s="1"/>
  <c r="F131" i="3"/>
  <c r="I33" i="16"/>
  <c r="AC131" i="3"/>
  <c r="F71" i="5"/>
  <c r="G610" i="7"/>
  <c r="J610" i="7" s="1"/>
  <c r="P778" i="8"/>
  <c r="O797" i="8"/>
  <c r="I828" i="8"/>
  <c r="J828" i="8"/>
  <c r="J60" i="7"/>
  <c r="J62" i="7"/>
  <c r="J64" i="7"/>
  <c r="J66" i="7"/>
  <c r="J68" i="7"/>
  <c r="J70" i="7"/>
  <c r="J72" i="7"/>
  <c r="J74" i="7"/>
  <c r="J76" i="7"/>
  <c r="J78" i="7"/>
  <c r="J80" i="7"/>
  <c r="J82" i="7"/>
  <c r="J84" i="7"/>
  <c r="J86" i="7"/>
  <c r="J88" i="7"/>
  <c r="J90" i="7"/>
  <c r="J92" i="7"/>
  <c r="J94" i="7"/>
  <c r="J96" i="7"/>
  <c r="J98" i="7"/>
  <c r="F100" i="7"/>
  <c r="F102" i="7"/>
  <c r="J107" i="7"/>
  <c r="J108" i="7"/>
  <c r="J109" i="7"/>
  <c r="J110" i="7"/>
  <c r="J111" i="7"/>
  <c r="J112" i="7"/>
  <c r="J113" i="7"/>
  <c r="J114" i="7"/>
  <c r="J115" i="7"/>
  <c r="J116" i="7"/>
  <c r="J117" i="7"/>
  <c r="J118" i="7"/>
  <c r="J119" i="7"/>
  <c r="J120" i="7"/>
  <c r="J121" i="7"/>
  <c r="J122" i="7"/>
  <c r="J123" i="7"/>
  <c r="J124" i="7"/>
  <c r="J125" i="7"/>
  <c r="J126" i="7"/>
  <c r="J127" i="7"/>
  <c r="J128" i="7"/>
  <c r="J130" i="7"/>
  <c r="L130" i="7" s="1"/>
  <c r="J131" i="7"/>
  <c r="J133" i="7"/>
  <c r="J135" i="7"/>
  <c r="J137" i="7"/>
  <c r="J139" i="7"/>
  <c r="J141" i="7"/>
  <c r="J143" i="7"/>
  <c r="J145" i="7"/>
  <c r="J147" i="7"/>
  <c r="J149" i="7"/>
  <c r="J151" i="7"/>
  <c r="J153" i="7"/>
  <c r="J155" i="7"/>
  <c r="J160" i="7"/>
  <c r="J162" i="7"/>
  <c r="J164" i="7"/>
  <c r="J166" i="7"/>
  <c r="J168" i="7"/>
  <c r="J170" i="7"/>
  <c r="J172" i="7"/>
  <c r="J251" i="7"/>
  <c r="J253" i="7"/>
  <c r="J255" i="7"/>
  <c r="J257" i="7"/>
  <c r="J259" i="7"/>
  <c r="J261" i="7"/>
  <c r="J263" i="7"/>
  <c r="J265" i="7"/>
  <c r="J267" i="7"/>
  <c r="J269" i="7"/>
  <c r="J271" i="7"/>
  <c r="J273" i="7"/>
  <c r="J275" i="7"/>
  <c r="J277" i="7"/>
  <c r="J279" i="7"/>
  <c r="J420" i="7"/>
  <c r="J422" i="7"/>
  <c r="J424" i="7"/>
  <c r="J426" i="7"/>
  <c r="J428" i="7"/>
  <c r="J430" i="7"/>
  <c r="J432" i="7"/>
  <c r="J434" i="7"/>
  <c r="J436" i="7"/>
  <c r="J438" i="7"/>
  <c r="J440" i="7"/>
  <c r="J442" i="7"/>
  <c r="J444" i="7"/>
  <c r="J446" i="7"/>
  <c r="J448" i="7"/>
  <c r="J450" i="7"/>
  <c r="J547" i="7"/>
  <c r="J549" i="7"/>
  <c r="J551" i="7"/>
  <c r="J553" i="7"/>
  <c r="J573" i="7"/>
  <c r="J575" i="7"/>
  <c r="J577" i="7"/>
  <c r="S21" i="8"/>
  <c r="R22" i="8"/>
  <c r="S23" i="8"/>
  <c r="R24" i="8"/>
  <c r="S25" i="8"/>
  <c r="R26" i="8"/>
  <c r="S27" i="8"/>
  <c r="R28" i="8"/>
  <c r="S29" i="8"/>
  <c r="R30" i="8"/>
  <c r="S31" i="8"/>
  <c r="S32" i="8"/>
  <c r="R33" i="8"/>
  <c r="S34" i="8"/>
  <c r="R35" i="8"/>
  <c r="S36" i="8"/>
  <c r="R37" i="8"/>
  <c r="S38" i="8"/>
  <c r="R39" i="8"/>
  <c r="S40" i="8"/>
  <c r="R41" i="8"/>
  <c r="S42" i="8"/>
  <c r="R43" i="8"/>
  <c r="S44" i="8"/>
  <c r="R45" i="8"/>
  <c r="S46" i="8"/>
  <c r="R47" i="8"/>
  <c r="S48" i="8"/>
  <c r="R49" i="8"/>
  <c r="S50" i="8"/>
  <c r="R51" i="8"/>
  <c r="S52" i="8"/>
  <c r="R53" i="8"/>
  <c r="S54" i="8"/>
  <c r="S201" i="8"/>
  <c r="R202" i="8"/>
  <c r="R204" i="8"/>
  <c r="S205" i="8"/>
  <c r="R206" i="8"/>
  <c r="S207" i="8"/>
  <c r="R208" i="8"/>
  <c r="S209" i="8"/>
  <c r="R210" i="8"/>
  <c r="S211" i="8"/>
  <c r="R212" i="8"/>
  <c r="S213" i="8"/>
  <c r="R214" i="8"/>
  <c r="S215" i="8"/>
  <c r="R216" i="8"/>
  <c r="S217" i="8"/>
  <c r="R218" i="8"/>
  <c r="S219" i="8"/>
  <c r="R220" i="8"/>
  <c r="S221" i="8"/>
  <c r="R222" i="8"/>
  <c r="S223" i="8"/>
  <c r="R224" i="8"/>
  <c r="S225" i="8"/>
  <c r="R226" i="8"/>
  <c r="S227" i="8"/>
  <c r="R228" i="8"/>
  <c r="S229" i="8"/>
  <c r="R230" i="8"/>
  <c r="S231" i="8"/>
  <c r="R232" i="8"/>
  <c r="S233" i="8"/>
  <c r="R234" i="8"/>
  <c r="S235" i="8"/>
  <c r="R236" i="8"/>
  <c r="J260" i="8"/>
  <c r="J276" i="8" s="1"/>
  <c r="O260" i="8"/>
  <c r="O276" i="8" s="1"/>
  <c r="Q260" i="8"/>
  <c r="P278" i="8"/>
  <c r="P294" i="8" s="1"/>
  <c r="I294" i="8"/>
  <c r="E606" i="7" s="1"/>
  <c r="M294" i="8"/>
  <c r="M300" i="8" s="1"/>
  <c r="M301" i="8" s="1"/>
  <c r="E533" i="7"/>
  <c r="K533" i="7" s="1"/>
  <c r="R354" i="8"/>
  <c r="C98" i="6"/>
  <c r="F98" i="6"/>
  <c r="S438" i="8"/>
  <c r="S523" i="8"/>
  <c r="R524" i="8"/>
  <c r="S525" i="8"/>
  <c r="R526" i="8"/>
  <c r="S527" i="8"/>
  <c r="R528" i="8"/>
  <c r="S529" i="8"/>
  <c r="R530" i="8"/>
  <c r="S531" i="8"/>
  <c r="R532" i="8"/>
  <c r="S533" i="8"/>
  <c r="R534" i="8"/>
  <c r="S535" i="8"/>
  <c r="R536" i="8"/>
  <c r="S537" i="8"/>
  <c r="R538" i="8"/>
  <c r="S539" i="8"/>
  <c r="R540" i="8"/>
  <c r="S541" i="8"/>
  <c r="R545" i="8"/>
  <c r="S546" i="8"/>
  <c r="R547" i="8"/>
  <c r="S548" i="8"/>
  <c r="R549" i="8"/>
  <c r="S550" i="8"/>
  <c r="R551" i="8"/>
  <c r="S552" i="8"/>
  <c r="R553" i="8"/>
  <c r="S554" i="8"/>
  <c r="R555" i="8"/>
  <c r="S556" i="8"/>
  <c r="R557" i="8"/>
  <c r="S558" i="8"/>
  <c r="R559" i="8"/>
  <c r="S560" i="8"/>
  <c r="R561" i="8"/>
  <c r="S562" i="8"/>
  <c r="R563" i="8"/>
  <c r="S564" i="8"/>
  <c r="R565" i="8"/>
  <c r="S566" i="8"/>
  <c r="R567" i="8"/>
  <c r="S568" i="8"/>
  <c r="K602" i="8"/>
  <c r="S570" i="8"/>
  <c r="R571" i="8"/>
  <c r="S572" i="8"/>
  <c r="R573" i="8"/>
  <c r="S574" i="8"/>
  <c r="R575" i="8"/>
  <c r="S576" i="8"/>
  <c r="R577" i="8"/>
  <c r="Q600" i="8"/>
  <c r="S641" i="8"/>
  <c r="R680" i="8"/>
  <c r="K683" i="8"/>
  <c r="K699" i="8" s="1"/>
  <c r="J701" i="8"/>
  <c r="J717" i="8" s="1"/>
  <c r="E537" i="7"/>
  <c r="K537" i="7" s="1"/>
  <c r="R791" i="8"/>
  <c r="R793" i="8" s="1"/>
  <c r="R794" i="8" s="1"/>
  <c r="O793" i="8"/>
  <c r="O794" i="8" s="1"/>
  <c r="Q793" i="8"/>
  <c r="Q794" i="8" s="1"/>
  <c r="J796" i="8"/>
  <c r="J797" i="8" s="1"/>
  <c r="Q796" i="8"/>
  <c r="Q825" i="8" s="1"/>
  <c r="S825" i="8" s="1"/>
  <c r="I797" i="8"/>
  <c r="E13" i="7" s="1"/>
  <c r="K13" i="7" s="1"/>
  <c r="K12" i="7" s="1"/>
  <c r="K797" i="8"/>
  <c r="M797" i="8"/>
  <c r="P797" i="8"/>
  <c r="J474" i="7"/>
  <c r="J476" i="7"/>
  <c r="J478" i="7"/>
  <c r="J486" i="7"/>
  <c r="J488" i="7"/>
  <c r="J490" i="7"/>
  <c r="J492" i="7"/>
  <c r="J494" i="7"/>
  <c r="J496" i="7"/>
  <c r="J498" i="7"/>
  <c r="J500" i="7"/>
  <c r="J502" i="7"/>
  <c r="J504" i="7"/>
  <c r="J506" i="7"/>
  <c r="J508" i="7"/>
  <c r="J510" i="7"/>
  <c r="J512" i="7"/>
  <c r="J514" i="7"/>
  <c r="J516" i="7"/>
  <c r="J518" i="7"/>
  <c r="J520" i="7"/>
  <c r="J522" i="7"/>
  <c r="I46" i="6"/>
  <c r="I47" i="6"/>
  <c r="I48" i="6"/>
  <c r="I51" i="6"/>
  <c r="I53" i="6"/>
  <c r="I55" i="6"/>
  <c r="I57" i="6"/>
  <c r="I59" i="6"/>
  <c r="I61" i="6"/>
  <c r="I63" i="6"/>
  <c r="I65" i="6"/>
  <c r="I67" i="6"/>
  <c r="I69" i="6"/>
  <c r="I71" i="6"/>
  <c r="I73" i="6"/>
  <c r="I75" i="6"/>
  <c r="I77" i="6"/>
  <c r="I79" i="6"/>
  <c r="I81" i="6"/>
  <c r="I83" i="6"/>
  <c r="I87" i="6"/>
  <c r="I89" i="6"/>
  <c r="K89" i="6" s="1"/>
  <c r="Q98" i="8"/>
  <c r="J80" i="8"/>
  <c r="P80" i="8"/>
  <c r="P96" i="8" s="1"/>
  <c r="R201" i="8"/>
  <c r="L294" i="8"/>
  <c r="G606" i="7" s="1"/>
  <c r="N375" i="8"/>
  <c r="R641" i="8"/>
  <c r="S680" i="8"/>
  <c r="J683" i="8"/>
  <c r="J699" i="8" s="1"/>
  <c r="R835" i="8"/>
  <c r="K855" i="8"/>
  <c r="O1008" i="8"/>
  <c r="S1014" i="8"/>
  <c r="S1016" i="8" s="1"/>
  <c r="K1019" i="8"/>
  <c r="K1033" i="8" s="1"/>
  <c r="H1020" i="8"/>
  <c r="L1020" i="8"/>
  <c r="K1398" i="8"/>
  <c r="K1414" i="8" s="1"/>
  <c r="R1373" i="8"/>
  <c r="R1375" i="8"/>
  <c r="R1377" i="8"/>
  <c r="R1379" i="8"/>
  <c r="J1513" i="8"/>
  <c r="J1531" i="8" s="1"/>
  <c r="S1503" i="8"/>
  <c r="S1521" i="8" s="1"/>
  <c r="S1550" i="8" s="1"/>
  <c r="S835" i="8"/>
  <c r="J839" i="8"/>
  <c r="J864" i="8" s="1"/>
  <c r="J880" i="8" s="1"/>
  <c r="R1014" i="8"/>
  <c r="O1414" i="8"/>
  <c r="R1356" i="8"/>
  <c r="R1358" i="8"/>
  <c r="R1360" i="8"/>
  <c r="R1362" i="8"/>
  <c r="R1364" i="8"/>
  <c r="R1366" i="8"/>
  <c r="R1368" i="8"/>
  <c r="R1370" i="8"/>
  <c r="R1372" i="8"/>
  <c r="R1374" i="8"/>
  <c r="R1376" i="8"/>
  <c r="R1378" i="8"/>
  <c r="S1380" i="8"/>
  <c r="S1381" i="8"/>
  <c r="S1382" i="8"/>
  <c r="S1383" i="8"/>
  <c r="S1384" i="8"/>
  <c r="S1385" i="8"/>
  <c r="S1386" i="8"/>
  <c r="P1398" i="8"/>
  <c r="P1414" i="8" s="1"/>
  <c r="H1414" i="8"/>
  <c r="C119" i="6" s="1"/>
  <c r="C117" i="6" s="1"/>
  <c r="N1414" i="8"/>
  <c r="P1416" i="8"/>
  <c r="P1544" i="8" s="1"/>
  <c r="S1445" i="8"/>
  <c r="S1446" i="8"/>
  <c r="S1447" i="8"/>
  <c r="R1448" i="8"/>
  <c r="R1449" i="8"/>
  <c r="J1497" i="8"/>
  <c r="J1515" i="8" s="1"/>
  <c r="D419" i="7"/>
  <c r="F419" i="7" s="1"/>
  <c r="S1587" i="8"/>
  <c r="S1591" i="8"/>
  <c r="S1599" i="8"/>
  <c r="S1601" i="8"/>
  <c r="S1603" i="8"/>
  <c r="S1605" i="8"/>
  <c r="S1607" i="8"/>
  <c r="S1609" i="8"/>
  <c r="S1611" i="8"/>
  <c r="S1613" i="8"/>
  <c r="S1615" i="8"/>
  <c r="R1619" i="8"/>
  <c r="F126" i="6"/>
  <c r="F124" i="6" s="1"/>
  <c r="P1666" i="8"/>
  <c r="I1705" i="8"/>
  <c r="P1419" i="8"/>
  <c r="L1432" i="8"/>
  <c r="G416" i="7" s="1"/>
  <c r="K1497" i="8"/>
  <c r="Q1497" i="8"/>
  <c r="Q1515" i="8" s="1"/>
  <c r="N1503" i="8"/>
  <c r="R1617" i="8"/>
  <c r="D249" i="7"/>
  <c r="J249" i="7" s="1"/>
  <c r="D101" i="7"/>
  <c r="J101" i="7" s="1"/>
  <c r="L101" i="7" s="1"/>
  <c r="Q134" i="3"/>
  <c r="S1585" i="8"/>
  <c r="R1588" i="8"/>
  <c r="S1594" i="8"/>
  <c r="S1595" i="8"/>
  <c r="S1596" i="8"/>
  <c r="S1597" i="8"/>
  <c r="S1598" i="8"/>
  <c r="S1618" i="8"/>
  <c r="S1621" i="8"/>
  <c r="N1651" i="8"/>
  <c r="N1669" i="8" s="1"/>
  <c r="D196" i="7"/>
  <c r="R1726" i="8"/>
  <c r="R1813" i="8"/>
  <c r="G126" i="6"/>
  <c r="R1620" i="8"/>
  <c r="R1618" i="8"/>
  <c r="R1598" i="8"/>
  <c r="R1596" i="8"/>
  <c r="R1595" i="8"/>
  <c r="R1585" i="8"/>
  <c r="C30" i="5"/>
  <c r="E19" i="5"/>
  <c r="E20" i="5"/>
  <c r="E21" i="5"/>
  <c r="E22" i="5"/>
  <c r="E23" i="5"/>
  <c r="E61" i="5"/>
  <c r="D469" i="7"/>
  <c r="J600" i="8"/>
  <c r="I19" i="5"/>
  <c r="I20" i="5"/>
  <c r="I21" i="5"/>
  <c r="I22" i="5"/>
  <c r="I23" i="5"/>
  <c r="C24" i="5"/>
  <c r="E34" i="5"/>
  <c r="E46" i="5"/>
  <c r="E47" i="5"/>
  <c r="E52" i="5"/>
  <c r="E53" i="5"/>
  <c r="E54" i="5"/>
  <c r="I61" i="5"/>
  <c r="E66" i="5"/>
  <c r="E67" i="5"/>
  <c r="E70" i="5"/>
  <c r="C71" i="5"/>
  <c r="R569" i="8"/>
  <c r="K584" i="8"/>
  <c r="K600" i="8" s="1"/>
  <c r="J602" i="8"/>
  <c r="J618" i="8" s="1"/>
  <c r="I34" i="5"/>
  <c r="I46" i="5"/>
  <c r="I47" i="5"/>
  <c r="I52" i="5"/>
  <c r="I53" i="5"/>
  <c r="I54" i="5"/>
  <c r="I67" i="5"/>
  <c r="I70" i="5"/>
  <c r="I39" i="6"/>
  <c r="I40" i="6"/>
  <c r="I41" i="6"/>
  <c r="I42" i="6"/>
  <c r="I43" i="6"/>
  <c r="I93" i="6"/>
  <c r="I128" i="6"/>
  <c r="S569" i="8"/>
  <c r="J584" i="8"/>
  <c r="J96" i="8"/>
  <c r="D41" i="5"/>
  <c r="S20" i="8"/>
  <c r="Q80" i="8"/>
  <c r="I114" i="8"/>
  <c r="R20" i="8"/>
  <c r="K80" i="8"/>
  <c r="K96" i="8" s="1"/>
  <c r="J98" i="8"/>
  <c r="D24" i="5"/>
  <c r="E84" i="5"/>
  <c r="K1645" i="8"/>
  <c r="E416" i="7"/>
  <c r="J10" i="5"/>
  <c r="J11" i="5"/>
  <c r="J12" i="5"/>
  <c r="J13" i="5"/>
  <c r="J14" i="5"/>
  <c r="J36" i="5"/>
  <c r="J84" i="5"/>
  <c r="K1416" i="8"/>
  <c r="Q1416" i="8"/>
  <c r="J44" i="5"/>
  <c r="J49" i="5"/>
  <c r="J77" i="5"/>
  <c r="J1416" i="8"/>
  <c r="R1383" i="8"/>
  <c r="H416" i="7"/>
  <c r="K250" i="7"/>
  <c r="K281" i="7"/>
  <c r="N1401" i="8"/>
  <c r="N1419" i="8"/>
  <c r="N1547" i="8" s="1"/>
  <c r="K176" i="7"/>
  <c r="K178" i="7"/>
  <c r="Q1419" i="8"/>
  <c r="I9" i="5"/>
  <c r="C8" i="5"/>
  <c r="E31" i="5"/>
  <c r="D30" i="5"/>
  <c r="I36" i="5"/>
  <c r="C35" i="5"/>
  <c r="I49" i="5"/>
  <c r="C48" i="5"/>
  <c r="I48" i="5" s="1"/>
  <c r="F50" i="5"/>
  <c r="I51" i="5"/>
  <c r="E9" i="5"/>
  <c r="E11" i="5"/>
  <c r="E13" i="5"/>
  <c r="I18" i="5"/>
  <c r="I26" i="5"/>
  <c r="J27" i="5"/>
  <c r="E36" i="5"/>
  <c r="E44" i="5"/>
  <c r="E49" i="5"/>
  <c r="E18" i="5"/>
  <c r="D17" i="5"/>
  <c r="E51" i="5"/>
  <c r="D50" i="5"/>
  <c r="J16" i="5"/>
  <c r="E10" i="5"/>
  <c r="E12" i="5"/>
  <c r="E14" i="5"/>
  <c r="J25" i="5"/>
  <c r="J29" i="5"/>
  <c r="F30" i="5"/>
  <c r="I31" i="5"/>
  <c r="J32" i="5"/>
  <c r="J38" i="5"/>
  <c r="J39" i="5"/>
  <c r="I42" i="5"/>
  <c r="J43" i="5"/>
  <c r="J55" i="5"/>
  <c r="I58" i="5"/>
  <c r="J59" i="5"/>
  <c r="J62" i="5"/>
  <c r="I66" i="5"/>
  <c r="J68" i="5"/>
  <c r="J72" i="5"/>
  <c r="I73" i="5"/>
  <c r="J74" i="5"/>
  <c r="E77" i="5"/>
  <c r="J15" i="5"/>
  <c r="J19" i="5"/>
  <c r="J20" i="5"/>
  <c r="J21" i="5"/>
  <c r="J22" i="5"/>
  <c r="J23" i="5"/>
  <c r="J26" i="5"/>
  <c r="J28" i="5"/>
  <c r="J31" i="5"/>
  <c r="J33" i="5"/>
  <c r="J34" i="5"/>
  <c r="J37" i="5"/>
  <c r="J40" i="5"/>
  <c r="J45" i="5"/>
  <c r="J46" i="5"/>
  <c r="J47" i="5"/>
  <c r="J52" i="5"/>
  <c r="J53" i="5"/>
  <c r="J54" i="5"/>
  <c r="J56" i="5"/>
  <c r="J58" i="5"/>
  <c r="J60" i="5"/>
  <c r="J61" i="5"/>
  <c r="J63" i="5"/>
  <c r="D65" i="5"/>
  <c r="J66" i="5"/>
  <c r="J67" i="5"/>
  <c r="J69" i="5"/>
  <c r="J70" i="5"/>
  <c r="J73" i="5"/>
  <c r="C76" i="5"/>
  <c r="J78" i="5"/>
  <c r="J81" i="5"/>
  <c r="C83" i="5"/>
  <c r="C82" i="5" s="1"/>
  <c r="I84" i="5"/>
  <c r="J85" i="5"/>
  <c r="J86" i="5"/>
  <c r="J88" i="5"/>
  <c r="F103" i="7"/>
  <c r="G174" i="7"/>
  <c r="J180" i="7"/>
  <c r="J182" i="7"/>
  <c r="J184" i="7"/>
  <c r="J186" i="7"/>
  <c r="J188" i="7"/>
  <c r="J190" i="7"/>
  <c r="J192" i="7"/>
  <c r="J194" i="7"/>
  <c r="J199" i="7"/>
  <c r="L199" i="7" s="1"/>
  <c r="J201" i="7"/>
  <c r="J203" i="7"/>
  <c r="J205" i="7"/>
  <c r="J207" i="7"/>
  <c r="J209" i="7"/>
  <c r="J211" i="7"/>
  <c r="J213" i="7"/>
  <c r="J215" i="7"/>
  <c r="J217" i="7"/>
  <c r="J219" i="7"/>
  <c r="J221" i="7"/>
  <c r="J223" i="7"/>
  <c r="J225" i="7"/>
  <c r="J227" i="7"/>
  <c r="J229" i="7"/>
  <c r="J231" i="7"/>
  <c r="J233" i="7"/>
  <c r="J235" i="7"/>
  <c r="J237" i="7"/>
  <c r="E280" i="7"/>
  <c r="K280" i="7" s="1"/>
  <c r="J79" i="5"/>
  <c r="F42" i="7"/>
  <c r="F43" i="7"/>
  <c r="F44" i="7"/>
  <c r="F45" i="7"/>
  <c r="F46" i="7"/>
  <c r="F47" i="7"/>
  <c r="J313" i="7"/>
  <c r="G382" i="7"/>
  <c r="K534" i="7"/>
  <c r="J537" i="7"/>
  <c r="I12" i="6"/>
  <c r="I13" i="6"/>
  <c r="I14" i="6"/>
  <c r="I15" i="6"/>
  <c r="I16" i="6"/>
  <c r="I17" i="6"/>
  <c r="I18" i="6"/>
  <c r="I19" i="6"/>
  <c r="I20" i="6"/>
  <c r="J23" i="6"/>
  <c r="J24" i="6"/>
  <c r="J25" i="6"/>
  <c r="J26" i="6"/>
  <c r="J27" i="6"/>
  <c r="J28" i="6"/>
  <c r="J30" i="6"/>
  <c r="I31" i="6"/>
  <c r="J32" i="6"/>
  <c r="I33" i="6"/>
  <c r="J34" i="6"/>
  <c r="I35" i="6"/>
  <c r="J37" i="6"/>
  <c r="I100" i="6"/>
  <c r="I101" i="6"/>
  <c r="I102" i="6"/>
  <c r="I103" i="6"/>
  <c r="I104" i="6"/>
  <c r="I105" i="6"/>
  <c r="I106" i="6"/>
  <c r="I107" i="6"/>
  <c r="I108" i="6"/>
  <c r="I109" i="6"/>
  <c r="I110" i="6"/>
  <c r="I111" i="6"/>
  <c r="I112" i="6"/>
  <c r="I113" i="6"/>
  <c r="I114" i="6"/>
  <c r="I115" i="6"/>
  <c r="I133" i="6"/>
  <c r="I135" i="6"/>
  <c r="I137" i="6"/>
  <c r="I139" i="6"/>
  <c r="I141" i="6"/>
  <c r="I143" i="6"/>
  <c r="I145" i="6"/>
  <c r="J239" i="7"/>
  <c r="J241" i="7"/>
  <c r="J243" i="7"/>
  <c r="J245" i="7"/>
  <c r="J247" i="7"/>
  <c r="J252" i="7"/>
  <c r="J254" i="7"/>
  <c r="J256" i="7"/>
  <c r="J258" i="7"/>
  <c r="J260" i="7"/>
  <c r="J262" i="7"/>
  <c r="J264" i="7"/>
  <c r="J266" i="7"/>
  <c r="J268" i="7"/>
  <c r="J270" i="7"/>
  <c r="J272" i="7"/>
  <c r="J274" i="7"/>
  <c r="J276" i="7"/>
  <c r="J278" i="7"/>
  <c r="J283" i="7"/>
  <c r="J285" i="7"/>
  <c r="J287" i="7"/>
  <c r="J289" i="7"/>
  <c r="J291" i="7"/>
  <c r="J293" i="7"/>
  <c r="J295" i="7"/>
  <c r="J297" i="7"/>
  <c r="J299" i="7"/>
  <c r="J301" i="7"/>
  <c r="J303" i="7"/>
  <c r="J305" i="7"/>
  <c r="J307" i="7"/>
  <c r="J309" i="7"/>
  <c r="J311" i="7"/>
  <c r="D312" i="7"/>
  <c r="J316" i="7"/>
  <c r="J318" i="7"/>
  <c r="J320" i="7"/>
  <c r="J322" i="7"/>
  <c r="J324" i="7"/>
  <c r="J326" i="7"/>
  <c r="J328" i="7"/>
  <c r="J330" i="7"/>
  <c r="J332" i="7"/>
  <c r="J334" i="7"/>
  <c r="J336" i="7"/>
  <c r="J338" i="7"/>
  <c r="J340" i="7"/>
  <c r="J342" i="7"/>
  <c r="E344" i="7"/>
  <c r="J345" i="7"/>
  <c r="J347" i="7"/>
  <c r="J355" i="7"/>
  <c r="J357" i="7"/>
  <c r="J359" i="7"/>
  <c r="J361" i="7"/>
  <c r="J363" i="7"/>
  <c r="J365" i="7"/>
  <c r="J367" i="7"/>
  <c r="J369" i="7"/>
  <c r="J371" i="7"/>
  <c r="J373" i="7"/>
  <c r="J375" i="7"/>
  <c r="J377" i="7"/>
  <c r="J379" i="7"/>
  <c r="J381" i="7"/>
  <c r="K382" i="7"/>
  <c r="K383" i="7"/>
  <c r="J385" i="7"/>
  <c r="J387" i="7"/>
  <c r="J389" i="7"/>
  <c r="J391" i="7"/>
  <c r="J393" i="7"/>
  <c r="J395" i="7"/>
  <c r="J397" i="7"/>
  <c r="J399" i="7"/>
  <c r="J401" i="7"/>
  <c r="J403" i="7"/>
  <c r="J405" i="7"/>
  <c r="J407" i="7"/>
  <c r="J409" i="7"/>
  <c r="J411" i="7"/>
  <c r="J413" i="7"/>
  <c r="J421" i="7"/>
  <c r="J423" i="7"/>
  <c r="J425" i="7"/>
  <c r="J427" i="7"/>
  <c r="J429" i="7"/>
  <c r="J431" i="7"/>
  <c r="J433" i="7"/>
  <c r="J435" i="7"/>
  <c r="J437" i="7"/>
  <c r="J439" i="7"/>
  <c r="J441" i="7"/>
  <c r="J443" i="7"/>
  <c r="J445" i="7"/>
  <c r="J447" i="7"/>
  <c r="J449" i="7"/>
  <c r="J451" i="7"/>
  <c r="J453" i="7"/>
  <c r="J455" i="7"/>
  <c r="J457" i="7"/>
  <c r="J459" i="7"/>
  <c r="J461" i="7"/>
  <c r="J463" i="7"/>
  <c r="J465" i="7"/>
  <c r="J467" i="7"/>
  <c r="J473" i="7"/>
  <c r="J475" i="7"/>
  <c r="J477" i="7"/>
  <c r="J479" i="7"/>
  <c r="J481" i="7"/>
  <c r="J483" i="7"/>
  <c r="J485" i="7"/>
  <c r="J487" i="7"/>
  <c r="J489" i="7"/>
  <c r="J491" i="7"/>
  <c r="J493" i="7"/>
  <c r="J495" i="7"/>
  <c r="J497" i="7"/>
  <c r="J499" i="7"/>
  <c r="J501" i="7"/>
  <c r="J503" i="7"/>
  <c r="J505" i="7"/>
  <c r="J507" i="7"/>
  <c r="J509" i="7"/>
  <c r="J511" i="7"/>
  <c r="J513" i="7"/>
  <c r="J515" i="7"/>
  <c r="J517" i="7"/>
  <c r="J519" i="7"/>
  <c r="J521" i="7"/>
  <c r="J540" i="7"/>
  <c r="J542" i="7"/>
  <c r="J544" i="7"/>
  <c r="J546" i="7"/>
  <c r="J548" i="7"/>
  <c r="J550" i="7"/>
  <c r="J552" i="7"/>
  <c r="J554" i="7"/>
  <c r="J556" i="7"/>
  <c r="J558" i="7"/>
  <c r="J560" i="7"/>
  <c r="J562" i="7"/>
  <c r="J564" i="7"/>
  <c r="J566" i="7"/>
  <c r="J568" i="7"/>
  <c r="J570" i="7"/>
  <c r="J572" i="7"/>
  <c r="J574" i="7"/>
  <c r="J576" i="7"/>
  <c r="J578" i="7"/>
  <c r="J580" i="7"/>
  <c r="J582" i="7"/>
  <c r="J584" i="7"/>
  <c r="J586" i="7"/>
  <c r="J588" i="7"/>
  <c r="J590" i="7"/>
  <c r="J592" i="7"/>
  <c r="J594" i="7"/>
  <c r="J596" i="7"/>
  <c r="J598" i="7"/>
  <c r="J600" i="7"/>
  <c r="J602" i="7"/>
  <c r="J12" i="6"/>
  <c r="J13" i="6"/>
  <c r="J14" i="6"/>
  <c r="J15" i="6"/>
  <c r="J16" i="6"/>
  <c r="J17" i="6"/>
  <c r="E18" i="6"/>
  <c r="J18" i="6"/>
  <c r="J19" i="6"/>
  <c r="J20" i="6"/>
  <c r="I23" i="6"/>
  <c r="I24" i="6"/>
  <c r="I25" i="6"/>
  <c r="I26" i="6"/>
  <c r="I27" i="6"/>
  <c r="I28" i="6"/>
  <c r="I30" i="6"/>
  <c r="J31" i="6"/>
  <c r="I32" i="6"/>
  <c r="J33" i="6"/>
  <c r="I34" i="6"/>
  <c r="J36" i="6"/>
  <c r="I37" i="6"/>
  <c r="F45" i="6"/>
  <c r="I50" i="6"/>
  <c r="I52" i="6"/>
  <c r="I54" i="6"/>
  <c r="I56" i="6"/>
  <c r="I58" i="6"/>
  <c r="I60" i="6"/>
  <c r="I62" i="6"/>
  <c r="I64" i="6"/>
  <c r="I66" i="6"/>
  <c r="I68" i="6"/>
  <c r="I70" i="6"/>
  <c r="I72" i="6"/>
  <c r="I74" i="6"/>
  <c r="I76" i="6"/>
  <c r="I78" i="6"/>
  <c r="I80" i="6"/>
  <c r="I82" i="6"/>
  <c r="I84" i="6"/>
  <c r="I88" i="6"/>
  <c r="I90" i="6"/>
  <c r="I97" i="6"/>
  <c r="I129" i="6"/>
  <c r="I131" i="6"/>
  <c r="I132" i="6"/>
  <c r="I134" i="6"/>
  <c r="I136" i="6"/>
  <c r="I138" i="6"/>
  <c r="I140" i="6"/>
  <c r="O1651" i="8"/>
  <c r="O1669" i="8" s="1"/>
  <c r="O1689" i="8" s="1"/>
  <c r="O1708" i="8" s="1"/>
  <c r="Q1669" i="8"/>
  <c r="Q1689" i="8" s="1"/>
  <c r="Q1699" i="8" s="1"/>
  <c r="R1597" i="8"/>
  <c r="O1645" i="8"/>
  <c r="Q1645" i="8"/>
  <c r="K177" i="7"/>
  <c r="R1594" i="8"/>
  <c r="H18" i="5"/>
  <c r="J18" i="5"/>
  <c r="H20" i="5"/>
  <c r="H23" i="5"/>
  <c r="S1593" i="8"/>
  <c r="H25" i="5"/>
  <c r="H53" i="5"/>
  <c r="S1589" i="8"/>
  <c r="G24" i="5"/>
  <c r="S1588" i="8"/>
  <c r="O1666" i="8"/>
  <c r="O1686" i="8" s="1"/>
  <c r="Q1666" i="8"/>
  <c r="G8" i="5"/>
  <c r="G80" i="5"/>
  <c r="J80" i="5" s="1"/>
  <c r="G87" i="5"/>
  <c r="J87" i="5" s="1"/>
  <c r="G30" i="5"/>
  <c r="G35" i="5"/>
  <c r="G41" i="5"/>
  <c r="G50" i="5"/>
  <c r="G57" i="5"/>
  <c r="H67" i="5"/>
  <c r="G71" i="5"/>
  <c r="H174" i="7"/>
  <c r="J42" i="5"/>
  <c r="J51" i="5"/>
  <c r="H12" i="5"/>
  <c r="H19" i="5"/>
  <c r="H22" i="5"/>
  <c r="G48" i="5"/>
  <c r="H49" i="5"/>
  <c r="H52" i="5"/>
  <c r="G65" i="5"/>
  <c r="H66" i="5"/>
  <c r="H70" i="5"/>
  <c r="G76" i="5"/>
  <c r="G83" i="5"/>
  <c r="G82" i="5" s="1"/>
  <c r="H134" i="3"/>
  <c r="AA126" i="3"/>
  <c r="D118" i="3"/>
  <c r="G58" i="3"/>
  <c r="AA71" i="3"/>
  <c r="AC71" i="3" s="1"/>
  <c r="AI15" i="3"/>
  <c r="AA16" i="3"/>
  <c r="AI16" i="3"/>
  <c r="AI14" i="3"/>
  <c r="AA44" i="3"/>
  <c r="AC44" i="3" s="1"/>
  <c r="AH19" i="3"/>
  <c r="I196" i="7"/>
  <c r="K196" i="7"/>
  <c r="J282" i="7"/>
  <c r="J314" i="7"/>
  <c r="L314" i="7" s="1"/>
  <c r="F345" i="7"/>
  <c r="F347" i="7"/>
  <c r="J480" i="7"/>
  <c r="J482" i="7"/>
  <c r="J484" i="7"/>
  <c r="E49" i="6"/>
  <c r="J127" i="6"/>
  <c r="F38" i="6"/>
  <c r="F85" i="6"/>
  <c r="C64" i="5" l="1"/>
  <c r="P114" i="8"/>
  <c r="P118" i="8"/>
  <c r="J134" i="3"/>
  <c r="AC16" i="3"/>
  <c r="AA15" i="3"/>
  <c r="D45" i="6"/>
  <c r="J45" i="6" s="1"/>
  <c r="K465" i="8"/>
  <c r="S1645" i="8"/>
  <c r="D64" i="5"/>
  <c r="I37" i="16"/>
  <c r="R1016" i="8"/>
  <c r="P1019" i="8"/>
  <c r="P1033" i="8" s="1"/>
  <c r="P1017" i="8"/>
  <c r="C89" i="5"/>
  <c r="F89" i="5"/>
  <c r="S778" i="8"/>
  <c r="G95" i="6"/>
  <c r="J95" i="6" s="1"/>
  <c r="F64" i="5"/>
  <c r="G64" i="5"/>
  <c r="Q114" i="8"/>
  <c r="Q118" i="8"/>
  <c r="AB134" i="3"/>
  <c r="D89" i="5"/>
  <c r="J129" i="7"/>
  <c r="L129" i="7" s="1"/>
  <c r="F129" i="7"/>
  <c r="G415" i="7"/>
  <c r="M1579" i="8"/>
  <c r="N1579" i="8" s="1"/>
  <c r="H1718" i="8"/>
  <c r="K1699" i="8"/>
  <c r="K1718" i="8" s="1"/>
  <c r="Q1661" i="8"/>
  <c r="Q1663" i="8"/>
  <c r="N1513" i="8"/>
  <c r="N1531" i="8" s="1"/>
  <c r="N1521" i="8"/>
  <c r="N1550" i="8" s="1"/>
  <c r="N1569" i="8" s="1"/>
  <c r="K1513" i="8"/>
  <c r="K1531" i="8" s="1"/>
  <c r="K1515" i="8"/>
  <c r="K1544" i="8" s="1"/>
  <c r="O1661" i="8"/>
  <c r="O1663" i="8"/>
  <c r="O1683" i="8" s="1"/>
  <c r="O1702" i="8" s="1"/>
  <c r="R1689" i="8"/>
  <c r="R1708" i="8" s="1"/>
  <c r="Q1708" i="8"/>
  <c r="O1513" i="8"/>
  <c r="O1531" i="8" s="1"/>
  <c r="O1521" i="8"/>
  <c r="O1550" i="8" s="1"/>
  <c r="O1560" i="8" s="1"/>
  <c r="R825" i="8"/>
  <c r="G119" i="6"/>
  <c r="G117" i="6" s="1"/>
  <c r="J117" i="6" s="1"/>
  <c r="M1531" i="8"/>
  <c r="H419" i="7" s="1"/>
  <c r="I419" i="7" s="1"/>
  <c r="J1699" i="8"/>
  <c r="J1718" i="8" s="1"/>
  <c r="I1718" i="8"/>
  <c r="K828" i="8"/>
  <c r="K1661" i="8"/>
  <c r="K1663" i="8"/>
  <c r="P1663" i="8"/>
  <c r="P1661" i="8"/>
  <c r="P1679" i="8" s="1"/>
  <c r="D415" i="7"/>
  <c r="C38" i="6"/>
  <c r="I38" i="6" s="1"/>
  <c r="I44" i="6"/>
  <c r="L1812" i="8"/>
  <c r="L1836" i="8" s="1"/>
  <c r="R1005" i="8"/>
  <c r="I344" i="7"/>
  <c r="F101" i="7"/>
  <c r="K769" i="8"/>
  <c r="L1560" i="8"/>
  <c r="L391" i="8"/>
  <c r="G41" i="7" s="1"/>
  <c r="G40" i="7" s="1"/>
  <c r="P1547" i="8"/>
  <c r="P1560" i="8" s="1"/>
  <c r="S1419" i="8"/>
  <c r="P1008" i="8"/>
  <c r="K344" i="7"/>
  <c r="J196" i="7"/>
  <c r="L196" i="7" s="1"/>
  <c r="J442" i="8"/>
  <c r="D525" i="7"/>
  <c r="J525" i="7" s="1"/>
  <c r="N1791" i="8"/>
  <c r="K134" i="3"/>
  <c r="F58" i="3"/>
  <c r="F14" i="3"/>
  <c r="H474" i="8"/>
  <c r="D44" i="6"/>
  <c r="E158" i="7"/>
  <c r="E157" i="7"/>
  <c r="K118" i="8"/>
  <c r="K134" i="8" s="1"/>
  <c r="K154" i="8" s="1"/>
  <c r="K526" i="7"/>
  <c r="J526" i="7"/>
  <c r="M304" i="8"/>
  <c r="M307" i="8"/>
  <c r="Q307" i="8" s="1"/>
  <c r="K717" i="8"/>
  <c r="D607" i="7"/>
  <c r="K158" i="8"/>
  <c r="K175" i="8" s="1"/>
  <c r="O294" i="8"/>
  <c r="L300" i="8"/>
  <c r="L301" i="8" s="1"/>
  <c r="F22" i="6" s="1"/>
  <c r="O373" i="8"/>
  <c r="P373" i="8"/>
  <c r="Q769" i="8"/>
  <c r="P375" i="8"/>
  <c r="S357" i="8"/>
  <c r="I118" i="8"/>
  <c r="I134" i="8" s="1"/>
  <c r="E41" i="7"/>
  <c r="K294" i="8"/>
  <c r="K307" i="8"/>
  <c r="J1432" i="8"/>
  <c r="E605" i="7"/>
  <c r="D158" i="7"/>
  <c r="D157" i="7"/>
  <c r="L145" i="8"/>
  <c r="F96" i="6" s="1"/>
  <c r="L158" i="8"/>
  <c r="L175" i="8" s="1"/>
  <c r="G158" i="7"/>
  <c r="G156" i="7" s="1"/>
  <c r="G157" i="7"/>
  <c r="G29" i="6"/>
  <c r="L303" i="8"/>
  <c r="L304" i="8" s="1"/>
  <c r="O298" i="8"/>
  <c r="O303" i="8"/>
  <c r="O304" i="8" s="1"/>
  <c r="F416" i="7"/>
  <c r="AC126" i="3"/>
  <c r="AA125" i="3"/>
  <c r="O602" i="8"/>
  <c r="O618" i="8" s="1"/>
  <c r="F526" i="7"/>
  <c r="F196" i="7"/>
  <c r="J133" i="3"/>
  <c r="L14" i="3"/>
  <c r="D605" i="7"/>
  <c r="S133" i="3"/>
  <c r="R134" i="3"/>
  <c r="S134" i="3" s="1"/>
  <c r="G14" i="3"/>
  <c r="G134" i="3" s="1"/>
  <c r="I134" i="3" s="1"/>
  <c r="AA70" i="3"/>
  <c r="E11" i="6"/>
  <c r="I99" i="6"/>
  <c r="J83" i="5"/>
  <c r="J82" i="5" s="1"/>
  <c r="J35" i="5"/>
  <c r="K1008" i="8"/>
  <c r="R1731" i="8"/>
  <c r="R1735" i="8" s="1"/>
  <c r="R1740" i="8" s="1"/>
  <c r="R1745" i="8" s="1"/>
  <c r="L308" i="8"/>
  <c r="L347" i="7"/>
  <c r="C94" i="6"/>
  <c r="C92" i="6" s="1"/>
  <c r="H197" i="7"/>
  <c r="H195" i="7" s="1"/>
  <c r="F94" i="6"/>
  <c r="J444" i="8"/>
  <c r="O1020" i="8"/>
  <c r="O1033" i="8"/>
  <c r="O1034" i="8" s="1"/>
  <c r="J1034" i="8"/>
  <c r="Q1020" i="8"/>
  <c r="Q1033" i="8"/>
  <c r="R1033" i="8" s="1"/>
  <c r="J769" i="8"/>
  <c r="J785" i="8" s="1"/>
  <c r="S793" i="8"/>
  <c r="S794" i="8" s="1"/>
  <c r="R602" i="8"/>
  <c r="J48" i="7"/>
  <c r="L48" i="7" s="1"/>
  <c r="R440" i="8"/>
  <c r="Q444" i="8"/>
  <c r="Q442" i="8"/>
  <c r="K444" i="8"/>
  <c r="K442" i="8"/>
  <c r="O446" i="8"/>
  <c r="M446" i="8"/>
  <c r="M474" i="8"/>
  <c r="P444" i="8"/>
  <c r="P442" i="8"/>
  <c r="S440" i="8"/>
  <c r="H446" i="8"/>
  <c r="D50" i="7" s="1"/>
  <c r="J50" i="7" s="1"/>
  <c r="I446" i="8"/>
  <c r="F48" i="7"/>
  <c r="D22" i="6"/>
  <c r="I98" i="6"/>
  <c r="C22" i="6"/>
  <c r="R357" i="8"/>
  <c r="S1398" i="8"/>
  <c r="S1414" i="8" s="1"/>
  <c r="L345" i="7"/>
  <c r="J76" i="5"/>
  <c r="K175" i="7"/>
  <c r="N1661" i="8"/>
  <c r="N1679" i="8" s="1"/>
  <c r="E50" i="5"/>
  <c r="I50" i="5"/>
  <c r="I83" i="5"/>
  <c r="N373" i="8"/>
  <c r="I17" i="5"/>
  <c r="I76" i="5"/>
  <c r="E17" i="5"/>
  <c r="I29" i="16"/>
  <c r="H524" i="7"/>
  <c r="H606" i="7"/>
  <c r="G535" i="7"/>
  <c r="J535" i="7" s="1"/>
  <c r="G608" i="7"/>
  <c r="J608" i="7" s="1"/>
  <c r="P1432" i="8"/>
  <c r="J606" i="7"/>
  <c r="F606" i="7"/>
  <c r="D536" i="7"/>
  <c r="F536" i="7" s="1"/>
  <c r="D609" i="7"/>
  <c r="G536" i="7"/>
  <c r="G609" i="7"/>
  <c r="D534" i="7"/>
  <c r="F534" i="7" s="1"/>
  <c r="E535" i="7"/>
  <c r="F535" i="7" s="1"/>
  <c r="E608" i="7"/>
  <c r="R1398" i="8"/>
  <c r="K99" i="7"/>
  <c r="K127" i="6"/>
  <c r="E127" i="6"/>
  <c r="C124" i="6"/>
  <c r="I124" i="6" s="1"/>
  <c r="J13" i="7"/>
  <c r="J12" i="7" s="1"/>
  <c r="J71" i="5"/>
  <c r="J57" i="5"/>
  <c r="I35" i="5"/>
  <c r="E8" i="5"/>
  <c r="R1645" i="8"/>
  <c r="R1663" i="8" s="1"/>
  <c r="J312" i="7"/>
  <c r="N1432" i="8"/>
  <c r="R98" i="8"/>
  <c r="C29" i="6"/>
  <c r="S1663" i="8"/>
  <c r="I65" i="5"/>
  <c r="I41" i="5"/>
  <c r="I24" i="5"/>
  <c r="R618" i="8"/>
  <c r="E57" i="5"/>
  <c r="J8" i="5"/>
  <c r="J24" i="5"/>
  <c r="K49" i="5"/>
  <c r="K13" i="5"/>
  <c r="F537" i="7"/>
  <c r="L537" i="7"/>
  <c r="I71" i="5"/>
  <c r="S98" i="8"/>
  <c r="E41" i="5"/>
  <c r="H17" i="5"/>
  <c r="K25" i="5"/>
  <c r="E12" i="7"/>
  <c r="Q134" i="8"/>
  <c r="P134" i="8"/>
  <c r="I57" i="5"/>
  <c r="F7" i="5"/>
  <c r="K44" i="5"/>
  <c r="K14" i="5"/>
  <c r="K10" i="5"/>
  <c r="K618" i="8"/>
  <c r="K174" i="7"/>
  <c r="H126" i="6"/>
  <c r="I126" i="6"/>
  <c r="K31" i="5"/>
  <c r="K77" i="5"/>
  <c r="K12" i="5"/>
  <c r="J1414" i="8"/>
  <c r="D524" i="7"/>
  <c r="F13" i="7"/>
  <c r="F12" i="7" s="1"/>
  <c r="K11" i="5"/>
  <c r="S683" i="8"/>
  <c r="S699" i="8" s="1"/>
  <c r="R701" i="8"/>
  <c r="R717" i="8" s="1"/>
  <c r="F344" i="7"/>
  <c r="J344" i="7"/>
  <c r="E119" i="6"/>
  <c r="I45" i="6"/>
  <c r="J469" i="7"/>
  <c r="K84" i="5"/>
  <c r="E117" i="6"/>
  <c r="Q1513" i="8"/>
  <c r="Q1531" i="8" s="1"/>
  <c r="R1497" i="8"/>
  <c r="R1515" i="8" s="1"/>
  <c r="AG17" i="3"/>
  <c r="AG19" i="3" s="1"/>
  <c r="F118" i="3"/>
  <c r="K9" i="5"/>
  <c r="J41" i="5"/>
  <c r="K70" i="5"/>
  <c r="K61" i="5"/>
  <c r="K34" i="5"/>
  <c r="D248" i="7"/>
  <c r="E30" i="5"/>
  <c r="I416" i="7"/>
  <c r="D35" i="6"/>
  <c r="D104" i="7"/>
  <c r="D99" i="7" s="1"/>
  <c r="E313" i="7"/>
  <c r="J1661" i="8"/>
  <c r="D126" i="6"/>
  <c r="J126" i="6" s="1"/>
  <c r="D383" i="7"/>
  <c r="S1569" i="8"/>
  <c r="P1569" i="8"/>
  <c r="P1791" i="8" s="1"/>
  <c r="H1563" i="8"/>
  <c r="F119" i="6"/>
  <c r="R1017" i="8"/>
  <c r="R1019" i="8"/>
  <c r="R1020" i="8" s="1"/>
  <c r="K1020" i="8"/>
  <c r="K1034" i="8"/>
  <c r="J1008" i="8"/>
  <c r="H538" i="7"/>
  <c r="S701" i="8"/>
  <c r="S717" i="8" s="1"/>
  <c r="H41" i="7"/>
  <c r="F29" i="6"/>
  <c r="R260" i="8"/>
  <c r="R276" i="8" s="1"/>
  <c r="Q276" i="8"/>
  <c r="Q158" i="8"/>
  <c r="J416" i="7"/>
  <c r="S797" i="8"/>
  <c r="S828" i="8"/>
  <c r="R683" i="8"/>
  <c r="R699" i="8" s="1"/>
  <c r="R278" i="8"/>
  <c r="R294" i="8" s="1"/>
  <c r="L330" i="8"/>
  <c r="L346" i="8" s="1"/>
  <c r="L327" i="8"/>
  <c r="AC62" i="3"/>
  <c r="AI17" i="3"/>
  <c r="D175" i="7"/>
  <c r="Q1550" i="8"/>
  <c r="D91" i="6"/>
  <c r="D281" i="7"/>
  <c r="D132" i="6"/>
  <c r="K1705" i="8"/>
  <c r="J419" i="7"/>
  <c r="S1497" i="8"/>
  <c r="P1513" i="8"/>
  <c r="P1531" i="8" s="1"/>
  <c r="P1020" i="8"/>
  <c r="P1034" i="8"/>
  <c r="S1019" i="8"/>
  <c r="S1033" i="8" s="1"/>
  <c r="S1017" i="8"/>
  <c r="G524" i="7"/>
  <c r="Q797" i="8"/>
  <c r="R796" i="8"/>
  <c r="R797" i="8" s="1"/>
  <c r="D29" i="6"/>
  <c r="S278" i="8"/>
  <c r="S294" i="8" s="1"/>
  <c r="S260" i="8"/>
  <c r="S276" i="8" s="1"/>
  <c r="O828" i="8"/>
  <c r="F98" i="3"/>
  <c r="D533" i="7"/>
  <c r="K51" i="5"/>
  <c r="K18" i="5"/>
  <c r="K66" i="5"/>
  <c r="K53" i="5"/>
  <c r="K47" i="5"/>
  <c r="K23" i="5"/>
  <c r="K21" i="5"/>
  <c r="K19" i="5"/>
  <c r="E48" i="5"/>
  <c r="R600" i="8"/>
  <c r="K18" i="6"/>
  <c r="K67" i="5"/>
  <c r="K54" i="5"/>
  <c r="K52" i="5"/>
  <c r="K46" i="5"/>
  <c r="K22" i="5"/>
  <c r="K20" i="5"/>
  <c r="E35" i="5"/>
  <c r="K36" i="5"/>
  <c r="S602" i="8"/>
  <c r="S618" i="8" s="1"/>
  <c r="R80" i="8"/>
  <c r="Q96" i="8"/>
  <c r="R96" i="8" s="1"/>
  <c r="S80" i="8"/>
  <c r="S96" i="8" s="1"/>
  <c r="J114" i="8"/>
  <c r="E524" i="7"/>
  <c r="S114" i="8"/>
  <c r="R114" i="8"/>
  <c r="J50" i="5"/>
  <c r="E249" i="7"/>
  <c r="J17" i="5"/>
  <c r="Q1544" i="8"/>
  <c r="Q1563" i="8" s="1"/>
  <c r="R1416" i="8"/>
  <c r="S1416" i="8"/>
  <c r="J1544" i="8"/>
  <c r="J1563" i="8" s="1"/>
  <c r="I1560" i="8"/>
  <c r="K1432" i="8"/>
  <c r="E415" i="7"/>
  <c r="K416" i="7"/>
  <c r="J30" i="5"/>
  <c r="O1432" i="8"/>
  <c r="Q1432" i="8"/>
  <c r="Q1547" i="8"/>
  <c r="R1419" i="8"/>
  <c r="R1414" i="8"/>
  <c r="R1401" i="8"/>
  <c r="N1566" i="8"/>
  <c r="N1560" i="8"/>
  <c r="H24" i="5"/>
  <c r="I11" i="6"/>
  <c r="E76" i="5"/>
  <c r="I30" i="5"/>
  <c r="E65" i="5"/>
  <c r="I8" i="5"/>
  <c r="C7" i="5"/>
  <c r="J11" i="6"/>
  <c r="D7" i="5"/>
  <c r="E83" i="5"/>
  <c r="E82" i="5" s="1"/>
  <c r="R1651" i="8"/>
  <c r="R1669" i="8" s="1"/>
  <c r="S1669" i="8"/>
  <c r="S1689" i="8" s="1"/>
  <c r="S1708" i="8" s="1"/>
  <c r="H8" i="5"/>
  <c r="H50" i="5"/>
  <c r="Q1705" i="8"/>
  <c r="R1705" i="8" s="1"/>
  <c r="S1666" i="8"/>
  <c r="O1705" i="8"/>
  <c r="G124" i="6"/>
  <c r="J48" i="5"/>
  <c r="K48" i="5" s="1"/>
  <c r="H48" i="5"/>
  <c r="J65" i="5"/>
  <c r="H65" i="5"/>
  <c r="H64" i="5" s="1"/>
  <c r="G7" i="5"/>
  <c r="G89" i="5"/>
  <c r="E133" i="3"/>
  <c r="E134" i="3"/>
  <c r="E45" i="6" l="1"/>
  <c r="K45" i="6"/>
  <c r="AA14" i="3"/>
  <c r="AA134" i="3" s="1"/>
  <c r="N80" i="18"/>
  <c r="AA133" i="3"/>
  <c r="L134" i="3"/>
  <c r="I64" i="5"/>
  <c r="G523" i="7"/>
  <c r="H415" i="7"/>
  <c r="I415" i="7" s="1"/>
  <c r="E64" i="5"/>
  <c r="G92" i="6"/>
  <c r="J64" i="5"/>
  <c r="I82" i="5"/>
  <c r="H119" i="6"/>
  <c r="R1661" i="8"/>
  <c r="R1679" i="8" s="1"/>
  <c r="R1699" i="8" s="1"/>
  <c r="R1718" i="8" s="1"/>
  <c r="K419" i="7"/>
  <c r="J119" i="6"/>
  <c r="S1513" i="8"/>
  <c r="S1531" i="8" s="1"/>
  <c r="S1515" i="8"/>
  <c r="S1544" i="8" s="1"/>
  <c r="S1563" i="8" s="1"/>
  <c r="O1679" i="8"/>
  <c r="O1699" i="8" s="1"/>
  <c r="O1718" i="8" s="1"/>
  <c r="Q1679" i="8"/>
  <c r="Q1718" i="8" s="1"/>
  <c r="S1679" i="8"/>
  <c r="S1699" i="8" s="1"/>
  <c r="K785" i="8"/>
  <c r="J1679" i="8"/>
  <c r="K1679" i="8"/>
  <c r="O1791" i="8"/>
  <c r="D38" i="6"/>
  <c r="J44" i="6"/>
  <c r="Q1323" i="8"/>
  <c r="Q1330" i="8" s="1"/>
  <c r="C21" i="6"/>
  <c r="E525" i="7"/>
  <c r="F525" i="7" s="1"/>
  <c r="S1661" i="8"/>
  <c r="Q1560" i="8"/>
  <c r="O1569" i="8"/>
  <c r="O391" i="8"/>
  <c r="L133" i="3"/>
  <c r="P1566" i="8"/>
  <c r="P1788" i="8" s="1"/>
  <c r="S1432" i="8"/>
  <c r="AC58" i="3"/>
  <c r="S1008" i="8"/>
  <c r="M785" i="8"/>
  <c r="N785" i="8" s="1"/>
  <c r="J118" i="8"/>
  <c r="J134" i="8" s="1"/>
  <c r="R1733" i="8"/>
  <c r="R1737" i="8" s="1"/>
  <c r="R1742" i="8" s="1"/>
  <c r="R1747" i="8" s="1"/>
  <c r="I158" i="8"/>
  <c r="I178" i="8" s="1"/>
  <c r="H94" i="6"/>
  <c r="F92" i="6"/>
  <c r="P1812" i="8"/>
  <c r="O300" i="8"/>
  <c r="O301" i="8" s="1"/>
  <c r="L474" i="8"/>
  <c r="O465" i="8"/>
  <c r="O474" i="8" s="1"/>
  <c r="I474" i="8"/>
  <c r="J474" i="8" s="1"/>
  <c r="F158" i="7"/>
  <c r="E156" i="7"/>
  <c r="K156" i="7" s="1"/>
  <c r="K158" i="7"/>
  <c r="Q785" i="8"/>
  <c r="R785" i="8" s="1"/>
  <c r="S769" i="8"/>
  <c r="S785" i="8" s="1"/>
  <c r="J91" i="6"/>
  <c r="K91" i="6" s="1"/>
  <c r="D85" i="6"/>
  <c r="D156" i="7"/>
  <c r="J156" i="7" s="1"/>
  <c r="L526" i="7"/>
  <c r="P391" i="8"/>
  <c r="S375" i="8"/>
  <c r="R375" i="8"/>
  <c r="O307" i="8"/>
  <c r="O308" i="8" s="1"/>
  <c r="Q311" i="8"/>
  <c r="Q327" i="8" s="1"/>
  <c r="Q308" i="8"/>
  <c r="S307" i="8"/>
  <c r="S158" i="8"/>
  <c r="S178" i="8" s="1"/>
  <c r="S194" i="8" s="1"/>
  <c r="S373" i="8"/>
  <c r="R373" i="8"/>
  <c r="K605" i="7"/>
  <c r="E604" i="7"/>
  <c r="J29" i="6"/>
  <c r="H178" i="8"/>
  <c r="P158" i="8"/>
  <c r="P175" i="8" s="1"/>
  <c r="H175" i="8"/>
  <c r="J158" i="7"/>
  <c r="H1579" i="8"/>
  <c r="F41" i="7"/>
  <c r="O149" i="8"/>
  <c r="N149" i="8"/>
  <c r="J157" i="7"/>
  <c r="F157" i="7"/>
  <c r="H608" i="7"/>
  <c r="H29" i="6"/>
  <c r="P145" i="8"/>
  <c r="N145" i="8"/>
  <c r="O145" i="8"/>
  <c r="R149" i="8"/>
  <c r="K178" i="8"/>
  <c r="K194" i="8" s="1"/>
  <c r="P465" i="8"/>
  <c r="L1809" i="8"/>
  <c r="J605" i="7"/>
  <c r="D604" i="7"/>
  <c r="AC70" i="3"/>
  <c r="G133" i="3"/>
  <c r="F605" i="7"/>
  <c r="I14" i="3"/>
  <c r="D523" i="7"/>
  <c r="K35" i="5"/>
  <c r="G604" i="7"/>
  <c r="R1432" i="8"/>
  <c r="I94" i="6"/>
  <c r="Q1034" i="8"/>
  <c r="R1034" i="8" s="1"/>
  <c r="Q465" i="8"/>
  <c r="Q474" i="8" s="1"/>
  <c r="G197" i="7"/>
  <c r="D94" i="6"/>
  <c r="D92" i="6" s="1"/>
  <c r="E197" i="7"/>
  <c r="E195" i="7" s="1"/>
  <c r="D197" i="7"/>
  <c r="D195" i="7" s="1"/>
  <c r="O152" i="8"/>
  <c r="K50" i="5"/>
  <c r="K24" i="5"/>
  <c r="R442" i="8"/>
  <c r="E50" i="7"/>
  <c r="J446" i="8"/>
  <c r="S444" i="8"/>
  <c r="S442" i="8"/>
  <c r="P446" i="8"/>
  <c r="H50" i="7"/>
  <c r="I50" i="7" s="1"/>
  <c r="K446" i="8"/>
  <c r="R444" i="8"/>
  <c r="Q446" i="8"/>
  <c r="J465" i="8"/>
  <c r="E22" i="6"/>
  <c r="S1705" i="8"/>
  <c r="I22" i="6"/>
  <c r="K76" i="5"/>
  <c r="R769" i="8"/>
  <c r="L13" i="7"/>
  <c r="L12" i="7" s="1"/>
  <c r="J536" i="7"/>
  <c r="J534" i="7"/>
  <c r="L534" i="7" s="1"/>
  <c r="K65" i="5"/>
  <c r="K83" i="5"/>
  <c r="K82" i="5" s="1"/>
  <c r="K17" i="5"/>
  <c r="K606" i="7"/>
  <c r="L606" i="7" s="1"/>
  <c r="I96" i="6"/>
  <c r="J607" i="7"/>
  <c r="L607" i="7" s="1"/>
  <c r="F607" i="7"/>
  <c r="J609" i="7"/>
  <c r="F609" i="7"/>
  <c r="F608" i="7"/>
  <c r="K57" i="5"/>
  <c r="K41" i="5"/>
  <c r="I7" i="5"/>
  <c r="I29" i="6"/>
  <c r="L344" i="7"/>
  <c r="K8" i="5"/>
  <c r="K126" i="6"/>
  <c r="D21" i="6"/>
  <c r="R118" i="8"/>
  <c r="R134" i="8" s="1"/>
  <c r="J248" i="7"/>
  <c r="K30" i="5"/>
  <c r="J1560" i="8"/>
  <c r="J524" i="7"/>
  <c r="L416" i="7"/>
  <c r="F415" i="7"/>
  <c r="AC15" i="3"/>
  <c r="J132" i="6"/>
  <c r="K132" i="6" s="1"/>
  <c r="E132" i="6"/>
  <c r="J175" i="7"/>
  <c r="L175" i="7" s="1"/>
  <c r="F175" i="7"/>
  <c r="E7" i="5"/>
  <c r="M118" i="8"/>
  <c r="M134" i="8" s="1"/>
  <c r="M158" i="8"/>
  <c r="H535" i="7"/>
  <c r="G22" i="6"/>
  <c r="Q1008" i="8"/>
  <c r="R1008" i="8" s="1"/>
  <c r="J415" i="7"/>
  <c r="E91" i="6"/>
  <c r="L194" i="8"/>
  <c r="F117" i="6"/>
  <c r="I119" i="6"/>
  <c r="J99" i="6"/>
  <c r="K99" i="6" s="1"/>
  <c r="F21" i="6"/>
  <c r="AI18" i="3"/>
  <c r="AI19" i="3" s="1"/>
  <c r="AC125" i="3"/>
  <c r="D133" i="3"/>
  <c r="F70" i="3"/>
  <c r="M311" i="8"/>
  <c r="M308" i="8"/>
  <c r="Q828" i="8"/>
  <c r="R828" i="8"/>
  <c r="S1034" i="8"/>
  <c r="S1020" i="8"/>
  <c r="D280" i="7"/>
  <c r="J281" i="7"/>
  <c r="L281" i="7" s="1"/>
  <c r="F281" i="7"/>
  <c r="Q1569" i="8"/>
  <c r="Q1791" i="8" s="1"/>
  <c r="S1791" i="8" s="1"/>
  <c r="R1550" i="8"/>
  <c r="R1569" i="8" s="1"/>
  <c r="I311" i="8"/>
  <c r="I308" i="8"/>
  <c r="K538" i="7"/>
  <c r="L538" i="7" s="1"/>
  <c r="I538" i="7"/>
  <c r="P1563" i="8"/>
  <c r="J383" i="7"/>
  <c r="L383" i="7" s="1"/>
  <c r="D382" i="7"/>
  <c r="F383" i="7"/>
  <c r="D124" i="6"/>
  <c r="E126" i="6"/>
  <c r="K313" i="7"/>
  <c r="L313" i="7" s="1"/>
  <c r="E312" i="7"/>
  <c r="F313" i="7"/>
  <c r="F104" i="7"/>
  <c r="J104" i="7"/>
  <c r="L104" i="7" s="1"/>
  <c r="E35" i="6"/>
  <c r="J35" i="6"/>
  <c r="K35" i="6" s="1"/>
  <c r="S118" i="8"/>
  <c r="S134" i="8" s="1"/>
  <c r="R1513" i="8"/>
  <c r="R1531" i="8" s="1"/>
  <c r="E29" i="6"/>
  <c r="K308" i="8"/>
  <c r="K311" i="8"/>
  <c r="P308" i="8"/>
  <c r="R307" i="8"/>
  <c r="P311" i="8"/>
  <c r="J533" i="7"/>
  <c r="L533" i="7" s="1"/>
  <c r="F533" i="7"/>
  <c r="H311" i="8"/>
  <c r="H308" i="8"/>
  <c r="J307" i="8"/>
  <c r="E89" i="5"/>
  <c r="K11" i="6"/>
  <c r="Q178" i="8"/>
  <c r="Q194" i="8" s="1"/>
  <c r="Q175" i="8"/>
  <c r="K524" i="7"/>
  <c r="F524" i="7"/>
  <c r="F249" i="7"/>
  <c r="E248" i="7"/>
  <c r="F248" i="7" s="1"/>
  <c r="I1579" i="8"/>
  <c r="R1544" i="8"/>
  <c r="R1563" i="8" s="1"/>
  <c r="K1563" i="8"/>
  <c r="K1579" i="8" s="1"/>
  <c r="K1560" i="8"/>
  <c r="R1547" i="8"/>
  <c r="R1566" i="8" s="1"/>
  <c r="Q1566" i="8"/>
  <c r="S1547" i="8"/>
  <c r="O1566" i="8"/>
  <c r="AH20" i="3"/>
  <c r="I89" i="5"/>
  <c r="H248" i="7"/>
  <c r="K249" i="7"/>
  <c r="L249" i="7" s="1"/>
  <c r="I249" i="7"/>
  <c r="R1683" i="8"/>
  <c r="R1702" i="8" s="1"/>
  <c r="H124" i="6"/>
  <c r="J7" i="5"/>
  <c r="H7" i="5"/>
  <c r="J89" i="5"/>
  <c r="H89" i="5"/>
  <c r="P5" i="5" l="1"/>
  <c r="K415" i="7"/>
  <c r="Q1579" i="8"/>
  <c r="K64" i="5"/>
  <c r="P1579" i="8"/>
  <c r="S1718" i="8"/>
  <c r="P474" i="8"/>
  <c r="S465" i="8"/>
  <c r="S474" i="8" s="1"/>
  <c r="I1330" i="8"/>
  <c r="M1809" i="8"/>
  <c r="M1802" i="8"/>
  <c r="P1809" i="8"/>
  <c r="J158" i="8"/>
  <c r="J175" i="8" s="1"/>
  <c r="O311" i="8"/>
  <c r="O327" i="8" s="1"/>
  <c r="E523" i="7"/>
  <c r="F523" i="7" s="1"/>
  <c r="S1560" i="8"/>
  <c r="O1579" i="8"/>
  <c r="J1579" i="8"/>
  <c r="K525" i="7"/>
  <c r="L525" i="7" s="1"/>
  <c r="R1560" i="8"/>
  <c r="I133" i="3"/>
  <c r="K119" i="6"/>
  <c r="I117" i="6"/>
  <c r="K117" i="6" s="1"/>
  <c r="G195" i="7"/>
  <c r="G616" i="7" s="1"/>
  <c r="I175" i="8"/>
  <c r="R158" i="8"/>
  <c r="R178" i="8" s="1"/>
  <c r="R194" i="8" s="1"/>
  <c r="F156" i="7"/>
  <c r="L158" i="7"/>
  <c r="D146" i="6"/>
  <c r="J85" i="6"/>
  <c r="S391" i="8"/>
  <c r="R391" i="8"/>
  <c r="L605" i="7"/>
  <c r="K29" i="6"/>
  <c r="P178" i="8"/>
  <c r="P194" i="8" s="1"/>
  <c r="H194" i="8"/>
  <c r="O154" i="8"/>
  <c r="K608" i="7"/>
  <c r="L608" i="7" s="1"/>
  <c r="L156" i="7"/>
  <c r="D40" i="7"/>
  <c r="S149" i="8"/>
  <c r="S145" i="8"/>
  <c r="R145" i="8"/>
  <c r="H610" i="7"/>
  <c r="J604" i="7"/>
  <c r="I30" i="16"/>
  <c r="R465" i="8"/>
  <c r="S175" i="8"/>
  <c r="J197" i="7"/>
  <c r="J94" i="6"/>
  <c r="K94" i="6" s="1"/>
  <c r="E94" i="6"/>
  <c r="K197" i="7"/>
  <c r="F197" i="7"/>
  <c r="N1788" i="8"/>
  <c r="O1788" i="8"/>
  <c r="S446" i="8"/>
  <c r="F50" i="7"/>
  <c r="K50" i="7"/>
  <c r="L50" i="7" s="1"/>
  <c r="E40" i="7"/>
  <c r="K474" i="8"/>
  <c r="Q1788" i="8"/>
  <c r="R1788" i="8" s="1"/>
  <c r="R446" i="8"/>
  <c r="E21" i="6"/>
  <c r="L415" i="7"/>
  <c r="H92" i="6"/>
  <c r="I92" i="6"/>
  <c r="H536" i="7"/>
  <c r="K536" i="7" s="1"/>
  <c r="L536" i="7" s="1"/>
  <c r="H609" i="7"/>
  <c r="K7" i="5"/>
  <c r="AC14" i="3"/>
  <c r="J523" i="7"/>
  <c r="L524" i="7"/>
  <c r="F146" i="6"/>
  <c r="F178" i="6" s="1"/>
  <c r="E124" i="6"/>
  <c r="J382" i="7"/>
  <c r="L382" i="7" s="1"/>
  <c r="F382" i="7"/>
  <c r="I41" i="7"/>
  <c r="I327" i="8"/>
  <c r="I330" i="8"/>
  <c r="I346" i="8" s="1"/>
  <c r="J280" i="7"/>
  <c r="L280" i="7" s="1"/>
  <c r="F280" i="7"/>
  <c r="M327" i="8"/>
  <c r="M330" i="8"/>
  <c r="M346" i="8" s="1"/>
  <c r="F133" i="3"/>
  <c r="D134" i="3"/>
  <c r="N391" i="8"/>
  <c r="J124" i="6"/>
  <c r="K124" i="6" s="1"/>
  <c r="F99" i="7"/>
  <c r="J99" i="7"/>
  <c r="L99" i="7" s="1"/>
  <c r="K312" i="7"/>
  <c r="L312" i="7" s="1"/>
  <c r="F312" i="7"/>
  <c r="N474" i="8"/>
  <c r="H117" i="6"/>
  <c r="K41" i="7"/>
  <c r="H40" i="7"/>
  <c r="M178" i="8"/>
  <c r="M194" i="8" s="1"/>
  <c r="M175" i="8"/>
  <c r="Q330" i="8"/>
  <c r="Q346" i="8" s="1"/>
  <c r="G21" i="6"/>
  <c r="G146" i="6" s="1"/>
  <c r="J22" i="6"/>
  <c r="K22" i="6" s="1"/>
  <c r="K535" i="7"/>
  <c r="L535" i="7" s="1"/>
  <c r="I21" i="6"/>
  <c r="S311" i="8"/>
  <c r="S308" i="8"/>
  <c r="P330" i="8"/>
  <c r="P346" i="8" s="1"/>
  <c r="P327" i="8"/>
  <c r="J311" i="8"/>
  <c r="J308" i="8"/>
  <c r="H327" i="8"/>
  <c r="H330" i="8"/>
  <c r="R308" i="8"/>
  <c r="R311" i="8"/>
  <c r="K330" i="8"/>
  <c r="K346" i="8" s="1"/>
  <c r="K327" i="8"/>
  <c r="K89" i="5"/>
  <c r="I194" i="8"/>
  <c r="R1579" i="8"/>
  <c r="S1566" i="8"/>
  <c r="S1579" i="8" s="1"/>
  <c r="M1812" i="8"/>
  <c r="I248" i="7"/>
  <c r="K248" i="7"/>
  <c r="L248" i="7" s="1"/>
  <c r="D139" i="3" l="1"/>
  <c r="AA141" i="3"/>
  <c r="AC133" i="3"/>
  <c r="O330" i="8"/>
  <c r="O346" i="8" s="1"/>
  <c r="Q1809" i="8"/>
  <c r="R1809" i="8" s="1"/>
  <c r="M1823" i="8"/>
  <c r="O1809" i="8"/>
  <c r="J178" i="8"/>
  <c r="J194" i="8" s="1"/>
  <c r="I1806" i="8"/>
  <c r="I1823" i="8" s="1"/>
  <c r="D174" i="6" s="1"/>
  <c r="AI20" i="3"/>
  <c r="AC134" i="3"/>
  <c r="N1809" i="8"/>
  <c r="Q1785" i="8"/>
  <c r="I1802" i="8"/>
  <c r="S1788" i="8"/>
  <c r="I195" i="7"/>
  <c r="H604" i="7"/>
  <c r="E616" i="7"/>
  <c r="E617" i="7" s="1"/>
  <c r="F604" i="7" s="1"/>
  <c r="S154" i="8"/>
  <c r="F40" i="7"/>
  <c r="R175" i="8"/>
  <c r="J92" i="6"/>
  <c r="K92" i="6" s="1"/>
  <c r="E92" i="6"/>
  <c r="J195" i="7"/>
  <c r="F195" i="7"/>
  <c r="K195" i="7"/>
  <c r="L197" i="7"/>
  <c r="H523" i="7"/>
  <c r="I523" i="7" s="1"/>
  <c r="K609" i="7"/>
  <c r="F147" i="6"/>
  <c r="K40" i="7"/>
  <c r="N1794" i="8"/>
  <c r="R474" i="8"/>
  <c r="AG20" i="3"/>
  <c r="F134" i="3"/>
  <c r="H21" i="6"/>
  <c r="J21" i="6"/>
  <c r="K21" i="6" s="1"/>
  <c r="Q1794" i="8"/>
  <c r="J41" i="7"/>
  <c r="L41" i="7" s="1"/>
  <c r="J327" i="8"/>
  <c r="J330" i="8"/>
  <c r="J346" i="8" s="1"/>
  <c r="S327" i="8"/>
  <c r="S330" i="8"/>
  <c r="S346" i="8" s="1"/>
  <c r="R330" i="8"/>
  <c r="R346" i="8" s="1"/>
  <c r="R327" i="8"/>
  <c r="H346" i="8"/>
  <c r="R1791" i="8"/>
  <c r="Q1812" i="8"/>
  <c r="S1812" i="8" s="1"/>
  <c r="O1812" i="8"/>
  <c r="N1812" i="8"/>
  <c r="S1809" i="8" l="1"/>
  <c r="Q1802" i="8"/>
  <c r="S1794" i="8"/>
  <c r="H616" i="7"/>
  <c r="K616" i="7" s="1"/>
  <c r="K617" i="7" s="1"/>
  <c r="I40" i="7"/>
  <c r="L195" i="7"/>
  <c r="L609" i="7"/>
  <c r="K604" i="7"/>
  <c r="L604" i="7" s="1"/>
  <c r="O158" i="8"/>
  <c r="Q1806" i="8"/>
  <c r="Q1823" i="8" s="1"/>
  <c r="K523" i="7"/>
  <c r="L523" i="7" s="1"/>
  <c r="L1815" i="8"/>
  <c r="L1823" i="8" s="1"/>
  <c r="O1794" i="8"/>
  <c r="O1802" i="8" s="1"/>
  <c r="J40" i="7"/>
  <c r="L40" i="7" s="1"/>
  <c r="J146" i="6"/>
  <c r="H146" i="6"/>
  <c r="R1812" i="8"/>
  <c r="O118" i="8" l="1"/>
  <c r="O134" i="8" s="1"/>
  <c r="H617" i="7"/>
  <c r="R1794" i="8"/>
  <c r="P1815" i="8"/>
  <c r="O1815" i="8"/>
  <c r="O1823" i="8" s="1"/>
  <c r="N1815" i="8"/>
  <c r="O175" i="8"/>
  <c r="O178" i="8"/>
  <c r="O194" i="8" s="1"/>
  <c r="N1802" i="8"/>
  <c r="S1815" i="8" l="1"/>
  <c r="R1815" i="8"/>
  <c r="N1823" i="8"/>
  <c r="F90" i="5"/>
  <c r="G617" i="7"/>
  <c r="I616" i="7" l="1"/>
  <c r="I617" i="7" s="1"/>
  <c r="H1058" i="8" l="1"/>
  <c r="J1058" i="8" s="1"/>
  <c r="C86" i="6"/>
  <c r="E86" i="6" s="1"/>
  <c r="H1060" i="8"/>
  <c r="K1060" i="8" s="1"/>
  <c r="I86" i="6" l="1"/>
  <c r="K86" i="6" s="1"/>
  <c r="R1057" i="8"/>
  <c r="P1060" i="8"/>
  <c r="K1058" i="8"/>
  <c r="J1060" i="8"/>
  <c r="H1064" i="8"/>
  <c r="H1323" i="8" s="1"/>
  <c r="H1785" i="8" s="1"/>
  <c r="H1806" i="8" s="1"/>
  <c r="P1806" i="8" s="1"/>
  <c r="H1061" i="8"/>
  <c r="C85" i="6"/>
  <c r="P1058" i="8"/>
  <c r="H1330" i="8" l="1"/>
  <c r="P1836" i="8"/>
  <c r="R1058" i="8"/>
  <c r="S1058" i="8"/>
  <c r="I85" i="6"/>
  <c r="K85" i="6" s="1"/>
  <c r="C146" i="6"/>
  <c r="C173" i="6" s="1"/>
  <c r="C177" i="6" s="1"/>
  <c r="E85" i="6"/>
  <c r="P1064" i="8"/>
  <c r="H1065" i="8"/>
  <c r="P1065" i="8" s="1"/>
  <c r="K1064" i="8"/>
  <c r="J1064" i="8"/>
  <c r="J1065" i="8" s="1"/>
  <c r="J1061" i="8"/>
  <c r="P1061" i="8"/>
  <c r="D179" i="7"/>
  <c r="K1061" i="8"/>
  <c r="R1060" i="8"/>
  <c r="S1060" i="8"/>
  <c r="N78" i="18" l="1"/>
  <c r="N76" i="18"/>
  <c r="H1823" i="8"/>
  <c r="F179" i="7"/>
  <c r="D174" i="7"/>
  <c r="J179" i="7"/>
  <c r="L179" i="7" s="1"/>
  <c r="S1061" i="8"/>
  <c r="R1061" i="8"/>
  <c r="K1323" i="8"/>
  <c r="K1330" i="8" s="1"/>
  <c r="K1065" i="8"/>
  <c r="R1064" i="8"/>
  <c r="S1064" i="8"/>
  <c r="E146" i="6"/>
  <c r="I146" i="6"/>
  <c r="C147" i="6"/>
  <c r="P1323" i="8"/>
  <c r="P1330" i="8" s="1"/>
  <c r="J1330" i="8"/>
  <c r="J1323" i="8"/>
  <c r="R1065" i="8"/>
  <c r="S1065" i="8"/>
  <c r="K146" i="6" l="1"/>
  <c r="I174" i="6"/>
  <c r="K1785" i="8"/>
  <c r="H1802" i="8"/>
  <c r="J1785" i="8"/>
  <c r="P1785" i="8"/>
  <c r="P1802" i="8" s="1"/>
  <c r="R1323" i="8"/>
  <c r="R1330" i="8"/>
  <c r="S1323" i="8"/>
  <c r="S1330" i="8" s="1"/>
  <c r="F174" i="7"/>
  <c r="D616" i="7"/>
  <c r="J174" i="7"/>
  <c r="L174" i="7" s="1"/>
  <c r="D617" i="7" l="1"/>
  <c r="F616" i="7"/>
  <c r="F617" i="7" s="1"/>
  <c r="J616" i="7"/>
  <c r="C96" i="5"/>
  <c r="K1802" i="8"/>
  <c r="J1802" i="8"/>
  <c r="R1802" i="8"/>
  <c r="S1785" i="8"/>
  <c r="S1802" i="8" s="1"/>
  <c r="R1785" i="8"/>
  <c r="K1806" i="8"/>
  <c r="P1823" i="8"/>
  <c r="J1806" i="8"/>
  <c r="C90" i="5" l="1"/>
  <c r="J1823" i="8"/>
  <c r="K1823" i="8"/>
  <c r="S1806" i="8"/>
  <c r="S1823" i="8" s="1"/>
  <c r="I90" i="5" s="1"/>
  <c r="R1806" i="8"/>
  <c r="J617" i="7"/>
  <c r="L616" i="7"/>
  <c r="L617" i="7" s="1"/>
  <c r="R1823" i="8" l="1"/>
  <c r="Y1823" i="8"/>
  <c r="Z1823" i="8" s="1"/>
  <c r="AB1823" i="8" l="1"/>
  <c r="AB1824" i="8" s="1"/>
</calcChain>
</file>

<file path=xl/sharedStrings.xml><?xml version="1.0" encoding="utf-8"?>
<sst xmlns="http://schemas.openxmlformats.org/spreadsheetml/2006/main" count="9511" uniqueCount="5555">
  <si>
    <t>А.</t>
  </si>
  <si>
    <t>РАЧУН ПРИХОДА И ПРИМАЊА</t>
  </si>
  <si>
    <t>Економска класификација</t>
  </si>
  <si>
    <t>у динарима</t>
  </si>
  <si>
    <t>Укупни приходи и примања остварени по основу продаје нефинансијске имовине</t>
  </si>
  <si>
    <t>7 + 8</t>
  </si>
  <si>
    <t>Укупни расходи и издаци за набавку нефинансијске имовине</t>
  </si>
  <si>
    <t>4 + 5</t>
  </si>
  <si>
    <t>Буџетски суфицит/дефицит</t>
  </si>
  <si>
    <t>(7+8) - (4+5)</t>
  </si>
  <si>
    <t xml:space="preserve">Укупан фискални суфицит/дефицит </t>
  </si>
  <si>
    <t>Б.</t>
  </si>
  <si>
    <t xml:space="preserve"> РАЧУН ФИНАНСИРАЊА</t>
  </si>
  <si>
    <t>Примања од задуживања</t>
  </si>
  <si>
    <t>Издаци за отплату главнице дуга</t>
  </si>
  <si>
    <t>Нето финансирање</t>
  </si>
  <si>
    <t>1.</t>
  </si>
  <si>
    <t>2.</t>
  </si>
  <si>
    <t>3.</t>
  </si>
  <si>
    <t>4.</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</si>
  <si>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</si>
  <si>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</si>
  <si>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</si>
  <si>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</si>
  <si>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</si>
  <si>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</si>
  <si>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</si>
  <si>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</si>
  <si>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</si>
  <si>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</si>
  <si>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</si>
  <si>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</si>
  <si>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</si>
  <si>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</si>
  <si>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</si>
  <si>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</si>
  <si>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</si>
  <si>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</si>
  <si>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</si>
  <si>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</si>
  <si>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</si>
  <si>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</si>
  <si>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</si>
  <si>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</si>
  <si>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</si>
  <si>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</si>
  <si>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</si>
  <si>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</si>
  <si>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</si>
  <si>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</si>
  <si>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</si>
  <si>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</si>
  <si>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</si>
  <si>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</si>
  <si>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</si>
  <si>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</si>
  <si>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</si>
  <si>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</si>
  <si>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</si>
  <si>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</si>
  <si>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</si>
  <si>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</si>
  <si>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</si>
  <si>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</si>
  <si>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</si>
  <si>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</si>
  <si>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</si>
  <si>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</si>
  <si>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</si>
  <si>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</si>
  <si>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</si>
  <si>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</si>
  <si>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</si>
  <si>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</si>
  <si>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</si>
  <si>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</si>
  <si>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</si>
  <si>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</si>
  <si>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</si>
  <si>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</si>
  <si>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</si>
  <si>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</si>
  <si>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</si>
  <si>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</si>
  <si>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</si>
  <si>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</si>
  <si>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</si>
  <si>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</si>
  <si>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</si>
  <si>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</si>
  <si>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</si>
  <si>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</si>
  <si>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</si>
  <si>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</si>
  <si>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</si>
  <si>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</si>
  <si>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</si>
  <si>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</si>
  <si>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</si>
  <si>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</si>
  <si>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</si>
  <si>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</si>
  <si>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</si>
  <si>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</si>
  <si>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</si>
  <si>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</si>
  <si>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</si>
  <si>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</si>
  <si>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</si>
  <si>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</si>
  <si>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</si>
  <si>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</si>
  <si>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</si>
  <si>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</si>
  <si>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</si>
  <si>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</si>
  <si>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</si>
  <si>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</si>
  <si>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</si>
  <si>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</si>
  <si>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</si>
  <si>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</si>
  <si>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</si>
  <si>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</si>
  <si>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</si>
  <si>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</si>
  <si>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</si>
  <si>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</si>
  <si>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</si>
  <si>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</si>
  <si>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</si>
  <si>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</si>
  <si>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</si>
  <si>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</si>
  <si>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</si>
  <si>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</si>
  <si>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</si>
  <si>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</si>
  <si>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</si>
  <si>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</si>
  <si>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</si>
  <si>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</si>
  <si>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</si>
  <si>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</si>
  <si>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</si>
  <si>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</si>
  <si>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</si>
  <si>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</si>
  <si>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</si>
  <si>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</si>
  <si>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</si>
  <si>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</si>
  <si>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</si>
  <si>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</si>
  <si>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</si>
  <si>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</si>
  <si>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</si>
  <si>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</si>
  <si>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</si>
  <si>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</si>
  <si>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</si>
  <si>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</si>
  <si>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</si>
  <si>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</si>
  <si>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</si>
  <si>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</si>
  <si>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</si>
  <si>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</si>
  <si>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</si>
  <si>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</si>
  <si>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</si>
  <si>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</si>
  <si>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</si>
  <si>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</si>
  <si>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</si>
  <si>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</si>
  <si>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</si>
  <si>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</si>
  <si>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</si>
  <si>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</si>
  <si>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</si>
  <si>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</si>
  <si>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</si>
  <si>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</si>
  <si>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</si>
  <si>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</si>
  <si>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</si>
  <si>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</si>
  <si>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</si>
  <si>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</si>
  <si>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</si>
  <si>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</si>
  <si>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</si>
  <si>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</si>
  <si>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</si>
  <si>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</si>
  <si>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</si>
  <si>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</si>
  <si>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</si>
  <si>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</si>
  <si>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</si>
  <si>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</si>
  <si>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</si>
  <si>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</si>
  <si>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</si>
  <si>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</si>
  <si>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</si>
  <si>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</si>
  <si>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</si>
  <si>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</si>
  <si>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</si>
  <si>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</si>
  <si>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</si>
  <si>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</si>
  <si>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</si>
  <si>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</si>
  <si>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</si>
  <si>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</si>
  <si>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</si>
  <si>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</si>
  <si>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</si>
  <si>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</si>
  <si>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</si>
  <si>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</si>
  <si>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</si>
  <si>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</si>
  <si>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</si>
  <si>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</si>
  <si>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</si>
  <si>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</si>
  <si>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</si>
  <si>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</si>
  <si>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</si>
  <si>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</si>
  <si>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</si>
  <si>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</si>
  <si>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</si>
  <si>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</si>
  <si>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</si>
  <si>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</si>
  <si>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</si>
  <si>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</si>
  <si>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</si>
  <si>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</si>
  <si>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</si>
  <si>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</si>
  <si>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</si>
  <si>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</si>
  <si>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</si>
  <si>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</si>
  <si>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</si>
  <si>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</si>
  <si>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</si>
  <si>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</si>
  <si>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</si>
  <si>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</si>
  <si>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</si>
  <si>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</si>
  <si>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</si>
  <si>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</si>
  <si>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</si>
  <si>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</si>
  <si>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</si>
  <si>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</si>
  <si>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</si>
  <si>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</si>
  <si>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</si>
  <si>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</si>
  <si>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</si>
  <si>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</si>
  <si>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</si>
  <si>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</si>
  <si>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</si>
  <si>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</si>
  <si>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</si>
  <si>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</si>
  <si>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</si>
  <si>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</si>
  <si>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</si>
  <si>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</si>
  <si>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</si>
  <si>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</si>
  <si>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</si>
  <si>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</si>
  <si>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</si>
  <si>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</si>
  <si>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</si>
  <si>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</si>
  <si>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</si>
  <si>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</si>
  <si>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</si>
  <si>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</si>
  <si>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</si>
  <si>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</si>
  <si>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</si>
  <si>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</si>
  <si>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</si>
  <si>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</si>
  <si>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</si>
  <si>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</si>
  <si>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</si>
  <si>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</si>
  <si>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</si>
  <si>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</si>
  <si>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</si>
  <si>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</si>
  <si>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</si>
  <si>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</si>
  <si>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</si>
  <si>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</si>
  <si>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</si>
  <si>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</si>
  <si>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</si>
  <si>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</si>
  <si>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</si>
  <si>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</si>
  <si>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</si>
  <si>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</si>
  <si>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</si>
  <si>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</si>
  <si>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</si>
  <si>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</si>
  <si>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</si>
  <si>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</si>
  <si>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</si>
  <si>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</si>
  <si>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</si>
  <si>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</si>
  <si>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</si>
  <si>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</si>
  <si>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</si>
  <si>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</si>
  <si>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</si>
  <si>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</si>
  <si>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</si>
  <si>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</si>
  <si>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</si>
  <si>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</si>
  <si>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</si>
  <si>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</si>
  <si>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</si>
  <si>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</si>
  <si>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</si>
  <si>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</si>
  <si>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</si>
  <si>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</si>
  <si>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</si>
  <si>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</si>
  <si>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</si>
  <si>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</si>
  <si>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</si>
  <si>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</si>
  <si>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</si>
  <si>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</si>
  <si>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</si>
  <si>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</si>
  <si>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</si>
  <si>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</si>
  <si>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</si>
  <si>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</si>
  <si>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</si>
  <si>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</si>
  <si>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</si>
  <si>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</si>
  <si>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</si>
  <si>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</si>
  <si>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</si>
  <si>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</si>
  <si>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</si>
  <si>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</si>
  <si>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</si>
  <si>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</si>
  <si>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</si>
  <si>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</si>
  <si>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</si>
  <si>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</si>
  <si>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</si>
  <si>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</si>
  <si>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</si>
  <si>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</si>
  <si>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</si>
  <si>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</si>
  <si>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</si>
  <si>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</si>
  <si>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</si>
  <si>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</si>
  <si>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</si>
  <si>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</si>
  <si>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</si>
  <si>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</si>
  <si>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</si>
  <si>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</si>
  <si>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</si>
  <si>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</si>
  <si>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</si>
  <si>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</si>
  <si>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</si>
  <si>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</si>
  <si>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</si>
  <si>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</si>
  <si>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</si>
  <si>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</si>
  <si>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</si>
  <si>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</si>
  <si>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</si>
  <si>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</si>
  <si>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</si>
  <si>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</si>
  <si>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</si>
  <si>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</si>
  <si>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</si>
  <si>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</si>
  <si>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</si>
  <si>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</si>
  <si>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</si>
  <si>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</si>
  <si>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</si>
  <si>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</si>
  <si>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</si>
  <si>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</si>
  <si>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</si>
  <si>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</si>
  <si>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</si>
  <si>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</si>
  <si>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</si>
  <si>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</si>
  <si>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</si>
  <si>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</si>
  <si>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</si>
  <si>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</si>
  <si>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</si>
  <si>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</si>
  <si>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</si>
  <si>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</si>
  <si>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</si>
  <si>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</si>
  <si>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</si>
  <si>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</si>
  <si>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</si>
  <si>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</si>
  <si>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</si>
  <si>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</si>
  <si>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</si>
  <si>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</si>
  <si>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</si>
  <si>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</si>
  <si>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</si>
  <si>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</si>
  <si>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</si>
  <si>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</si>
  <si>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</si>
  <si>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</si>
  <si>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</si>
  <si>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</si>
  <si>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</si>
  <si>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</si>
  <si>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</si>
  <si>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</si>
  <si>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</si>
  <si>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</si>
  <si>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</si>
  <si>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</si>
  <si>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</si>
  <si>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</si>
  <si>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</si>
  <si>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</si>
  <si>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</si>
  <si>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</si>
  <si>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</si>
  <si>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</si>
  <si>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</si>
  <si>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</si>
  <si>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</si>
  <si>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</si>
  <si>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</si>
  <si>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</si>
  <si>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</si>
  <si>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</si>
  <si>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</si>
  <si>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</si>
  <si>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</si>
  <si>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</si>
  <si>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</si>
  <si>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</si>
  <si>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</si>
  <si>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</si>
  <si>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</si>
  <si>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</si>
  <si>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</si>
  <si>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</si>
  <si>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</si>
  <si>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</si>
  <si>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</si>
  <si>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</si>
  <si>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</si>
  <si>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</si>
  <si>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</si>
  <si>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</si>
  <si>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</si>
  <si>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</si>
  <si>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</si>
  <si>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</si>
  <si>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</si>
  <si>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</si>
  <si>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</si>
  <si>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</si>
  <si>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</si>
  <si>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</si>
  <si>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</si>
  <si>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</si>
  <si>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</si>
  <si>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</si>
  <si>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</si>
  <si>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</si>
  <si>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</si>
  <si>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</si>
  <si>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</si>
  <si>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</si>
  <si>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</si>
  <si>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</si>
  <si>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</si>
  <si>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</si>
  <si>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</si>
  <si>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</si>
  <si>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</si>
  <si>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</si>
  <si>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</si>
  <si>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</si>
  <si>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</si>
  <si>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</si>
  <si>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</si>
  <si>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</si>
  <si>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</si>
  <si>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</si>
  <si>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</si>
  <si>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</si>
  <si>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</si>
  <si>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</si>
  <si>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</si>
  <si>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</si>
  <si>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</si>
  <si>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</si>
  <si>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</si>
  <si>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</si>
  <si>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</si>
  <si>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</si>
  <si>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</si>
  <si>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</si>
  <si>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</si>
  <si>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</si>
  <si>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</si>
  <si>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</si>
  <si>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</si>
  <si>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</si>
  <si>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</si>
  <si>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</si>
  <si>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</si>
  <si>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</si>
  <si>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</si>
  <si>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</si>
  <si>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</si>
  <si>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</si>
  <si>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</si>
  <si>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</si>
  <si>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</si>
  <si>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</si>
  <si>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</si>
  <si>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</si>
  <si>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</si>
  <si>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</si>
  <si>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</si>
  <si>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</si>
  <si>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</si>
  <si>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</si>
  <si>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</si>
  <si>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</si>
  <si>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</si>
  <si>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</si>
  <si>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</si>
  <si>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</si>
  <si>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</si>
  <si>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</si>
  <si>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</si>
  <si>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</si>
  <si>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</si>
  <si>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</si>
  <si>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</si>
  <si>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</si>
  <si>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</si>
  <si>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</si>
  <si>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</si>
  <si>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</si>
  <si>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</si>
  <si>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</si>
  <si>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</si>
  <si>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</si>
  <si>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</si>
  <si>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</si>
  <si>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</si>
  <si>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</si>
  <si>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</si>
  <si>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</si>
  <si>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</si>
  <si>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</si>
  <si>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</si>
  <si>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</si>
  <si>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</si>
  <si>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</si>
  <si>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</si>
  <si>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</si>
  <si>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</si>
  <si>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</si>
  <si>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</si>
  <si>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</si>
  <si>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</si>
  <si>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</si>
  <si>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</si>
  <si>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</si>
  <si>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</si>
  <si>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</si>
  <si>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</si>
  <si>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</si>
  <si>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</si>
  <si>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</si>
  <si>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</si>
  <si>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</si>
  <si>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</si>
  <si>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</si>
  <si>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</si>
  <si>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</si>
  <si>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</si>
  <si>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</si>
  <si>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</si>
  <si>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</si>
  <si>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</si>
  <si>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</si>
  <si>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</si>
  <si>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</si>
  <si>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</si>
  <si>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</si>
  <si>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</si>
  <si>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</si>
  <si>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</si>
  <si>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</si>
  <si>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</si>
  <si>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</si>
  <si>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</si>
  <si>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</si>
  <si>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</si>
  <si>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</si>
  <si>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</si>
  <si>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</si>
  <si>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</si>
  <si>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</si>
  <si>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</si>
  <si>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</si>
  <si>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</si>
  <si>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</si>
  <si>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</si>
  <si>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</si>
  <si>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</si>
  <si>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</si>
  <si>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</si>
  <si>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</si>
  <si>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</si>
  <si>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</si>
  <si>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</si>
  <si>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</si>
  <si>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</si>
  <si>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</si>
  <si>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</si>
  <si>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</si>
  <si>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</si>
  <si>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</si>
  <si>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</si>
  <si>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</si>
  <si>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</si>
  <si>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</si>
  <si>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</si>
  <si>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</si>
  <si>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</si>
  <si>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</si>
  <si>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</si>
  <si>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</si>
  <si>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</si>
  <si>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</si>
  <si>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</si>
  <si>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</si>
  <si>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</si>
  <si>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</si>
  <si>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</si>
  <si>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</si>
  <si>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</si>
  <si>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</si>
  <si>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</si>
  <si>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</si>
  <si>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</si>
  <si>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</si>
  <si>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</si>
  <si>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</si>
  <si>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</si>
  <si>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</si>
  <si>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</si>
  <si>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</si>
  <si>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</si>
  <si>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</si>
  <si>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</si>
  <si>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</si>
  <si>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</si>
  <si>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</si>
  <si>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</si>
  <si>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</si>
  <si>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</si>
  <si>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</si>
  <si>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</si>
  <si>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</si>
  <si>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</si>
  <si>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</si>
  <si>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</si>
  <si>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</si>
  <si>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</si>
  <si>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</si>
  <si>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</si>
  <si>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</si>
  <si>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</si>
  <si>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</si>
  <si>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</si>
  <si>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</si>
  <si>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</si>
  <si>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</si>
  <si>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</si>
  <si>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</si>
  <si>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</si>
  <si>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</si>
  <si>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</si>
  <si>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</si>
  <si>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</si>
  <si>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</si>
  <si>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</si>
  <si>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</si>
  <si>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</si>
  <si>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</si>
  <si>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</si>
  <si>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</si>
  <si>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</si>
  <si>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</si>
  <si>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</si>
  <si>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</si>
  <si>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</si>
  <si>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</si>
  <si>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</si>
  <si>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</si>
  <si>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</si>
  <si>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</si>
  <si>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</si>
  <si>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</si>
  <si>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</si>
  <si>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</si>
  <si>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</si>
  <si>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</si>
  <si>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</si>
  <si>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</si>
  <si>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</si>
  <si>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</si>
  <si>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</si>
  <si>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</si>
  <si>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</si>
  <si>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</si>
  <si>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</si>
  <si>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</si>
  <si>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</si>
  <si>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</si>
  <si>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</si>
  <si>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</si>
  <si>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</si>
  <si>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</si>
  <si>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</si>
  <si>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</si>
  <si>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</si>
  <si>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</si>
  <si>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</si>
  <si>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</si>
  <si>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</si>
  <si>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</si>
  <si>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</si>
  <si>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</si>
  <si>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</si>
  <si>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</si>
  <si>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</si>
  <si>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</si>
  <si>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</si>
  <si>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</si>
  <si>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</si>
  <si>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</si>
  <si>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</si>
  <si>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</si>
  <si>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</si>
  <si>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</si>
  <si>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</si>
  <si>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</si>
  <si>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</si>
  <si>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</si>
  <si>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</si>
  <si>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</si>
  <si>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</si>
  <si>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</si>
  <si>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</si>
  <si>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</si>
  <si>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</si>
  <si>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</si>
  <si>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</si>
  <si>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</si>
  <si>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</si>
  <si>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</si>
  <si>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</si>
  <si>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</si>
  <si>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</si>
  <si>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</si>
  <si>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</si>
  <si>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</si>
  <si>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</si>
  <si>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</si>
  <si>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</si>
  <si>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</si>
  <si>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</si>
  <si>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</si>
  <si>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</si>
  <si>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</si>
  <si>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</si>
  <si>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</si>
  <si>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</si>
  <si>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</si>
  <si>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</si>
  <si>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</si>
  <si>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</si>
  <si>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</si>
  <si>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</si>
  <si>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</si>
  <si>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</si>
  <si>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</si>
  <si>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</si>
  <si>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</si>
  <si>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</si>
  <si>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</si>
  <si>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</si>
  <si>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</si>
  <si>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</si>
  <si>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</si>
  <si>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</si>
  <si>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</si>
  <si>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</si>
  <si>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</si>
  <si>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</si>
  <si>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</si>
  <si>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</si>
  <si>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</si>
  <si>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</si>
  <si>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</si>
  <si>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</si>
  <si>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</si>
  <si>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</si>
  <si>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</si>
  <si>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</si>
  <si>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</si>
  <si>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</si>
  <si>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</si>
  <si>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</si>
  <si>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</si>
  <si>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</si>
  <si>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</si>
  <si>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</si>
  <si>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</si>
  <si>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</si>
  <si>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</si>
  <si>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</si>
  <si>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</si>
  <si>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</si>
  <si>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</si>
  <si>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</si>
  <si>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</si>
  <si>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</si>
  <si>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</si>
  <si>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</si>
  <si>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</si>
  <si>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</si>
  <si>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</si>
  <si>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</si>
  <si>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</si>
  <si>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</si>
  <si>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</si>
  <si>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</si>
  <si>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</si>
  <si>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</si>
  <si>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</si>
  <si>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</si>
  <si>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</si>
  <si>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</si>
  <si>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</si>
  <si>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</si>
  <si>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</si>
  <si>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</si>
  <si>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</si>
  <si>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</si>
  <si>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</si>
  <si>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</si>
  <si>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</si>
  <si>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</si>
  <si>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</si>
  <si>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</si>
  <si>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</si>
  <si>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</si>
  <si>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</si>
  <si>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</si>
  <si>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</si>
  <si>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</si>
  <si>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</si>
  <si>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</si>
  <si>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</si>
  <si>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</si>
  <si>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</si>
  <si>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</si>
  <si>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</si>
  <si>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</si>
  <si>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</si>
  <si>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</si>
  <si>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</si>
  <si>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</si>
  <si>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</si>
  <si>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</si>
  <si>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</si>
  <si>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</si>
  <si>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</si>
  <si>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</si>
  <si>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</si>
  <si>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</si>
  <si>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</si>
  <si>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</si>
  <si>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</si>
  <si>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</si>
  <si>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</si>
  <si>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</si>
  <si>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</si>
  <si>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</si>
  <si>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</si>
  <si>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</si>
  <si>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</si>
  <si>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</si>
  <si>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</si>
  <si>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</si>
  <si>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</si>
  <si>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</si>
  <si>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</si>
  <si>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</si>
  <si>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</si>
  <si>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</si>
  <si>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</si>
  <si>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</si>
  <si>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</si>
  <si>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</si>
  <si>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</si>
  <si>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</si>
  <si>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</si>
  <si>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</si>
  <si>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</si>
  <si>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</si>
  <si>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</si>
  <si>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</si>
  <si>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</si>
  <si>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</si>
  <si>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</si>
  <si>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</si>
  <si>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</si>
  <si>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</si>
  <si>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</si>
  <si>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</si>
  <si>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</si>
  <si>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</si>
  <si>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</si>
  <si>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</si>
  <si>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</si>
  <si>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</si>
  <si>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</si>
  <si>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</si>
  <si>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</si>
  <si>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</si>
  <si>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</si>
  <si>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</si>
  <si>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</si>
  <si>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</si>
  <si>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</si>
  <si>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</si>
  <si>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</si>
  <si>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</si>
  <si>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</si>
  <si>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</si>
  <si>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</si>
  <si>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</si>
  <si>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</si>
  <si>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</si>
  <si>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</si>
  <si>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</si>
  <si>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</si>
  <si>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</si>
  <si>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</si>
  <si>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</si>
  <si>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</si>
  <si>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</si>
  <si>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</si>
  <si>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</si>
  <si>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</si>
  <si>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</si>
  <si>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</si>
  <si>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</si>
  <si>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</si>
  <si>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</si>
  <si>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</si>
  <si>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</si>
  <si>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</si>
  <si>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</si>
  <si>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</si>
  <si>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</si>
  <si>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</si>
  <si>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</si>
  <si>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</si>
  <si>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</si>
  <si>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</si>
  <si>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</si>
  <si>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</si>
  <si>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</si>
  <si>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</si>
  <si>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</si>
  <si>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</si>
  <si>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</si>
  <si>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</si>
  <si>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</si>
  <si>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</si>
  <si>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</si>
  <si>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</si>
  <si>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</si>
  <si>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</si>
  <si>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</si>
  <si>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</si>
  <si>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</si>
  <si>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</si>
  <si>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</si>
  <si>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</si>
  <si>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</si>
  <si>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</si>
  <si>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</si>
  <si>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</si>
  <si>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</si>
  <si>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</si>
  <si>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</si>
  <si>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</si>
  <si>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</si>
  <si>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</si>
  <si>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</si>
  <si>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</si>
  <si>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</si>
  <si>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</si>
  <si>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</si>
  <si>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</si>
  <si>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</si>
  <si>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</si>
  <si>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</si>
  <si>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</si>
  <si>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</si>
  <si>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</si>
  <si>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</si>
  <si>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</si>
  <si>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</si>
  <si>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</si>
  <si>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</si>
  <si>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</si>
  <si>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</si>
  <si>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</si>
  <si>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</si>
  <si>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</si>
  <si>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</si>
  <si>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</si>
  <si>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</si>
  <si>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</si>
  <si>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</si>
  <si>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</si>
  <si>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</si>
  <si>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</si>
  <si>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</si>
  <si>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</si>
  <si>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</si>
  <si>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</si>
  <si>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</si>
  <si>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</si>
  <si>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</si>
  <si>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</si>
  <si>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</si>
  <si>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</si>
  <si>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</si>
  <si>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</si>
  <si>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</si>
  <si>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</si>
  <si>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</si>
  <si>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</si>
  <si>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</si>
  <si>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</si>
  <si>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</si>
  <si>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</si>
  <si>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</si>
  <si>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</si>
  <si>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</si>
  <si>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</si>
  <si>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</si>
  <si>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</si>
  <si>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</si>
  <si>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</si>
  <si>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</si>
  <si>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</si>
  <si>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</si>
  <si>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</si>
  <si>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</si>
  <si>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</si>
  <si>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</si>
  <si>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</si>
  <si>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</si>
  <si>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</si>
  <si>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</si>
  <si>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</si>
  <si>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</si>
  <si>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</si>
  <si>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</si>
  <si>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</si>
  <si>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</si>
  <si>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</si>
  <si>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</si>
  <si>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</si>
  <si>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</si>
  <si>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</si>
  <si>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</si>
  <si>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</si>
  <si>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</si>
  <si>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</si>
  <si>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</si>
  <si>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</si>
  <si>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</si>
  <si>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</si>
  <si>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</si>
  <si>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</si>
  <si>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</si>
  <si>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</si>
  <si>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</si>
  <si>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</si>
  <si>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</si>
  <si>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</si>
  <si>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</si>
  <si>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</si>
  <si>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</si>
  <si>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</si>
  <si>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</si>
  <si>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</si>
  <si>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</si>
  <si>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</si>
  <si>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</si>
  <si>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</si>
  <si>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</si>
  <si>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</si>
  <si>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</si>
  <si>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</si>
  <si>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</si>
  <si>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</si>
  <si>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</si>
  <si>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</si>
  <si>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</si>
  <si>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</si>
  <si>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</si>
  <si>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</si>
  <si>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</si>
  <si>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</si>
  <si>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</si>
  <si>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</si>
  <si>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</si>
  <si>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</si>
  <si>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</si>
  <si>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</si>
  <si>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</si>
  <si>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</si>
  <si>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</si>
  <si>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</si>
  <si>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</si>
  <si>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</si>
  <si>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</si>
  <si>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</si>
  <si>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</si>
  <si>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</si>
  <si>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</si>
  <si>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</si>
  <si>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</si>
  <si>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</si>
  <si>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</si>
  <si>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</si>
  <si>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</si>
  <si>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</si>
  <si>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</si>
  <si>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</si>
  <si>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</si>
  <si>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</si>
  <si>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</si>
  <si>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</si>
  <si>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</si>
  <si>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</si>
  <si>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</si>
  <si>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</si>
  <si>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</si>
  <si>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</si>
  <si>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</si>
  <si>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</si>
  <si>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</si>
  <si>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</si>
  <si>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</si>
  <si>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</si>
  <si>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</si>
  <si>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</si>
  <si>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</si>
  <si>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</si>
  <si>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</si>
  <si>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</si>
  <si>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</si>
  <si>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</si>
  <si>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</si>
  <si>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</si>
  <si>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</si>
  <si>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</si>
  <si>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</si>
  <si>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</si>
  <si>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</si>
  <si>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</si>
  <si>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</si>
  <si>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</si>
  <si>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</si>
  <si>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</si>
  <si>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</si>
  <si>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</si>
  <si>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</si>
  <si>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</si>
  <si>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</si>
  <si>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</si>
  <si>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</si>
  <si>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</si>
  <si>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</si>
  <si>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</si>
  <si>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</si>
  <si>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</si>
  <si>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</si>
  <si>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</si>
  <si>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</si>
  <si>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</si>
  <si>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</si>
  <si>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</si>
  <si>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</si>
  <si>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</si>
  <si>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</si>
  <si>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</si>
  <si>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</si>
  <si>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</si>
  <si>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</si>
  <si>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</si>
  <si>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</si>
  <si>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</si>
  <si>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</si>
  <si>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</si>
  <si>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</si>
  <si>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</si>
  <si>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</si>
  <si>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</si>
  <si>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</si>
  <si>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</si>
  <si>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</si>
  <si>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</si>
  <si>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</si>
  <si>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</si>
  <si>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</si>
  <si>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</si>
  <si>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</si>
  <si>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</si>
  <si>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</si>
  <si>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</si>
  <si>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</si>
  <si>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</si>
  <si>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</si>
  <si>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</si>
  <si>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</si>
  <si>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</si>
  <si>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</si>
  <si>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</si>
  <si>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</si>
  <si>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</si>
  <si>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</si>
  <si>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</si>
  <si>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</si>
  <si>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</si>
  <si>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</si>
  <si>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</si>
  <si>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</si>
  <si>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</si>
  <si>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</si>
  <si>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</si>
  <si>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</si>
  <si>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</si>
  <si>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</si>
  <si>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</si>
  <si>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</si>
  <si>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</si>
  <si>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</si>
  <si>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</si>
  <si>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</si>
  <si>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</si>
  <si>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</si>
  <si>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</si>
  <si>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</si>
  <si>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</si>
  <si>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</si>
  <si>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</si>
  <si>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</si>
  <si>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</si>
  <si>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</si>
  <si>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</si>
  <si>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</si>
  <si>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</si>
  <si>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</si>
  <si>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</si>
  <si>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</si>
  <si>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</si>
  <si>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</si>
  <si>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</si>
  <si>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</si>
  <si>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</si>
  <si>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</si>
  <si>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</si>
  <si>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</si>
  <si>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</si>
  <si>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</si>
  <si>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</si>
  <si>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</si>
  <si>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</si>
  <si>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</si>
  <si>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</si>
  <si>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</si>
  <si>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</si>
  <si>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</si>
  <si>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</si>
  <si>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</si>
  <si>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</si>
  <si>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</si>
  <si>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</si>
  <si>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</si>
  <si>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</si>
  <si>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</si>
  <si>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</si>
  <si>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</si>
  <si>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</si>
  <si>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</si>
  <si>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</si>
  <si>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</si>
  <si>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</si>
  <si>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</si>
  <si>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</si>
  <si>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</si>
  <si>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</si>
  <si>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</si>
  <si>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</si>
  <si>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</si>
  <si>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</si>
  <si>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</si>
  <si>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</si>
  <si>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</si>
  <si>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</si>
  <si>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</si>
  <si>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</si>
  <si>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</si>
  <si>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</si>
  <si>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</si>
  <si>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</si>
  <si>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</si>
  <si>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</si>
  <si>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</si>
  <si>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</si>
  <si>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</si>
  <si>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</si>
  <si>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</si>
  <si>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</si>
  <si>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</si>
  <si>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</si>
  <si>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</si>
  <si>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</si>
  <si>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</si>
  <si>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</si>
  <si>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</si>
  <si>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</si>
  <si>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</si>
  <si>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</si>
  <si>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</si>
  <si>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</si>
  <si>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</si>
  <si>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</si>
  <si>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</si>
  <si>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</si>
  <si>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</si>
  <si>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</si>
  <si>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</si>
  <si>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</si>
  <si>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</si>
  <si>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</si>
  <si>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</si>
  <si>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</si>
  <si>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</si>
  <si>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</si>
  <si>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</si>
  <si>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</si>
  <si>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</si>
  <si>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</si>
  <si>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</si>
  <si>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</si>
  <si>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</si>
  <si>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</si>
  <si>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</si>
  <si>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</si>
  <si>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</si>
  <si>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</si>
  <si>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</si>
  <si>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</si>
  <si>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</si>
  <si>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</si>
  <si>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</si>
  <si>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</si>
  <si>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</si>
  <si>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</si>
  <si>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</si>
  <si>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</si>
  <si>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</si>
  <si>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</si>
  <si>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</si>
  <si>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</si>
  <si>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</si>
  <si>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</si>
  <si>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</si>
  <si>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</si>
  <si>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</si>
  <si>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</si>
  <si>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</si>
  <si>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</si>
  <si>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</si>
  <si>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</si>
  <si>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</si>
  <si>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</si>
  <si>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</si>
  <si>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</si>
  <si>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</si>
  <si>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</si>
  <si>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</si>
  <si>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</si>
  <si>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</si>
  <si>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</si>
  <si>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</si>
  <si>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</si>
  <si>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</si>
  <si>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</si>
  <si>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</si>
  <si>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</si>
  <si>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</si>
  <si>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</si>
  <si>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</si>
  <si>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</si>
  <si>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</si>
  <si>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</si>
  <si>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</si>
  <si>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</si>
  <si>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</si>
  <si>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</si>
  <si>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</si>
  <si>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</si>
  <si>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</si>
  <si>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</si>
  <si>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</si>
  <si>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</si>
  <si>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</si>
  <si>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</si>
  <si>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</si>
  <si>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</si>
  <si>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</si>
  <si>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</si>
  <si>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</si>
  <si>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</si>
  <si>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</si>
  <si>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</si>
  <si>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</si>
  <si>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</si>
  <si>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</si>
  <si>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</si>
  <si>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</si>
  <si>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</si>
  <si>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</si>
  <si>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</si>
  <si>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</si>
  <si>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</si>
  <si>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</si>
  <si>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</si>
  <si>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</si>
  <si>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</si>
  <si>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</si>
  <si>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</si>
  <si>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</si>
  <si>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</si>
  <si>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</si>
  <si>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</si>
  <si>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</si>
  <si>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</si>
  <si>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</si>
  <si>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</si>
  <si>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</si>
  <si>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</si>
  <si>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</si>
  <si>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</si>
  <si>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</si>
  <si>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</si>
  <si>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</si>
  <si>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</si>
  <si>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</si>
  <si>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</si>
  <si>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</si>
  <si>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</si>
  <si>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</si>
  <si>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</si>
  <si>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</si>
  <si>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</si>
  <si>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</si>
  <si>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</si>
  <si>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</si>
  <si>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</si>
  <si>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</si>
  <si>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</si>
  <si>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</si>
  <si>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</si>
  <si>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</si>
  <si>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</si>
  <si>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</si>
  <si>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</si>
  <si>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</si>
  <si>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</si>
  <si>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</si>
  <si>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</si>
  <si>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</si>
  <si>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</si>
  <si>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</si>
  <si>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</si>
  <si>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</si>
  <si>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</si>
  <si>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</si>
  <si>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</si>
  <si>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</si>
  <si>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</si>
  <si>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</si>
  <si>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</si>
  <si>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</si>
  <si>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</si>
  <si>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</si>
  <si>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</si>
  <si>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</si>
  <si>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</si>
  <si>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</si>
  <si>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</si>
  <si>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</si>
  <si>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</si>
  <si>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</si>
  <si>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</si>
  <si>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</si>
  <si>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</si>
  <si>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</si>
  <si>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</si>
  <si>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</si>
  <si>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</si>
  <si>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</si>
  <si>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</si>
  <si>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</si>
  <si>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</si>
  <si>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</si>
  <si>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</si>
  <si>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</si>
  <si>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</si>
  <si>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</si>
  <si>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</si>
  <si>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</si>
  <si>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</si>
  <si>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</si>
  <si>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</si>
  <si>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</si>
  <si>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</si>
  <si>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</si>
  <si>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</si>
  <si>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</si>
  <si>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</si>
  <si>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</si>
  <si>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</si>
  <si>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</si>
  <si>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</si>
  <si>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</si>
  <si>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</si>
  <si>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</si>
  <si>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</si>
  <si>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</si>
  <si>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</si>
  <si>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</si>
  <si>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</si>
  <si>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</si>
  <si>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</si>
  <si>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</si>
  <si>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</si>
  <si>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</si>
  <si>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</si>
  <si>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</si>
  <si>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</si>
  <si>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</si>
  <si>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</si>
  <si>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</si>
  <si>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</si>
  <si>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</si>
  <si>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</si>
  <si>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</si>
  <si>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</si>
  <si>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</si>
  <si>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</si>
  <si>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</si>
  <si>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</si>
  <si>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</si>
  <si>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</si>
  <si>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</si>
  <si>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</si>
  <si>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</si>
  <si>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</si>
  <si>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</si>
  <si>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</si>
  <si>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</si>
  <si>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</si>
  <si>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</si>
  <si>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</si>
  <si>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</si>
  <si>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</si>
  <si>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</si>
  <si>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</si>
  <si>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</si>
  <si>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</si>
  <si>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</si>
  <si>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</si>
  <si>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</si>
  <si>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</si>
  <si>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</si>
  <si>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</si>
  <si>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</si>
  <si>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</si>
  <si>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</si>
  <si>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</si>
  <si>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</si>
  <si>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</si>
  <si>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</si>
  <si>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</si>
  <si>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</si>
  <si>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</si>
  <si>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</si>
  <si>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</si>
  <si>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</si>
  <si>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</si>
  <si>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</si>
  <si>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</si>
  <si>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</si>
  <si>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</si>
  <si>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</si>
  <si>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</si>
  <si>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</si>
  <si>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</si>
  <si>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</si>
  <si>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</si>
  <si>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</si>
  <si>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</si>
  <si>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</si>
  <si>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</si>
  <si>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</si>
  <si>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</si>
  <si>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</si>
  <si>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</si>
  <si>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</si>
  <si>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</si>
  <si>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</si>
  <si>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</si>
  <si>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</si>
  <si>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</si>
  <si>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</si>
  <si>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</si>
  <si>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</si>
  <si>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</si>
  <si>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</si>
  <si>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</si>
  <si>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</si>
  <si>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</si>
  <si>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</si>
  <si>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</si>
  <si>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</si>
  <si>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</si>
  <si>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</si>
  <si>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</si>
  <si>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</si>
  <si>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</si>
  <si>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</si>
  <si>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</si>
  <si>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</si>
  <si>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</si>
  <si>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</si>
  <si>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</si>
  <si>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</si>
  <si>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</si>
  <si>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</si>
  <si>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</si>
  <si>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</si>
  <si>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</si>
  <si>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</si>
  <si>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</si>
  <si>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</si>
  <si>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</si>
  <si>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</si>
  <si>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</si>
  <si>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</si>
  <si>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</si>
  <si>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</si>
  <si>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</si>
  <si>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</si>
  <si>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</si>
  <si>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</si>
  <si>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</si>
  <si>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</si>
  <si>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</si>
  <si>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</si>
  <si>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</si>
  <si>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</si>
  <si>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</si>
  <si>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</si>
  <si>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</si>
  <si>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</si>
  <si>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</si>
  <si>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</si>
  <si>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</si>
  <si>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</si>
  <si>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</si>
  <si>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</si>
  <si>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</si>
  <si>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</si>
  <si>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</si>
  <si>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</si>
  <si>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</si>
  <si>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</si>
  <si>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</si>
  <si>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</si>
  <si>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</si>
  <si>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</si>
  <si>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</si>
  <si>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</si>
  <si>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</si>
  <si>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</si>
  <si>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</si>
  <si>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</si>
  <si>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</si>
  <si>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</si>
  <si>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</si>
  <si>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</si>
  <si>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</si>
  <si>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</si>
  <si>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</si>
  <si>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</si>
  <si>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</si>
  <si>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</si>
  <si>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</si>
  <si>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</si>
  <si>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</si>
  <si>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</si>
  <si>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</si>
  <si>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</si>
  <si>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</si>
  <si>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</si>
  <si>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</si>
  <si>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</si>
  <si>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</si>
  <si>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</si>
  <si>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</si>
  <si>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</si>
  <si>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</si>
  <si>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</si>
  <si>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</si>
  <si>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</si>
  <si>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</si>
  <si>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</si>
  <si>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</si>
  <si>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</si>
  <si>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</si>
  <si>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</si>
  <si>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</si>
  <si>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</si>
  <si>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</si>
  <si>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</si>
  <si>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</si>
  <si>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</si>
  <si>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</si>
  <si>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</si>
  <si>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</si>
  <si>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</si>
  <si>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</si>
  <si>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</si>
  <si>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</si>
  <si>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</si>
  <si>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</si>
  <si>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</si>
  <si>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</si>
  <si>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</si>
  <si>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</si>
  <si>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</si>
  <si>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</si>
  <si>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</si>
  <si>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</si>
  <si>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</si>
  <si>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</si>
  <si>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</si>
  <si>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</si>
  <si>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</si>
  <si>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</si>
  <si>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</si>
  <si>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</si>
  <si>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</si>
  <si>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</si>
  <si>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</si>
  <si>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</si>
  <si>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</si>
  <si>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</si>
  <si>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</si>
  <si>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</si>
  <si>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</si>
  <si>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</si>
  <si>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</si>
  <si>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</si>
  <si>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</si>
  <si>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</si>
  <si>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</si>
  <si>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</si>
  <si>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</si>
  <si>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</si>
  <si>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</si>
  <si>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</si>
  <si>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</si>
  <si>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</si>
  <si>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</si>
  <si>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</si>
  <si>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</si>
  <si>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</si>
  <si>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</si>
  <si>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</si>
  <si>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</si>
  <si>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</si>
  <si>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</si>
  <si>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</si>
  <si>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</si>
  <si>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</si>
  <si>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</si>
  <si>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</si>
  <si>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</si>
  <si>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</si>
  <si>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</si>
  <si>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</si>
  <si>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</si>
  <si>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</si>
  <si>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</si>
  <si>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</si>
  <si>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</si>
  <si>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</si>
  <si>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</si>
  <si>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</si>
  <si>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</si>
  <si>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</si>
  <si>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</si>
  <si>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</si>
  <si>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</si>
  <si>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</si>
  <si>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</si>
  <si>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</si>
  <si>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</si>
  <si>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</si>
  <si>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</si>
  <si>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</si>
  <si>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</si>
  <si>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</si>
  <si>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</si>
  <si>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</si>
  <si>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</si>
  <si>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</si>
  <si>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</si>
  <si>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</si>
  <si>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</si>
  <si>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</si>
  <si>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</si>
  <si>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</si>
  <si>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</si>
  <si>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</si>
  <si>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</si>
  <si>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</si>
  <si>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</si>
  <si>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</si>
  <si>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</si>
  <si>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</si>
  <si>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</si>
  <si>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</si>
  <si>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</si>
  <si>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</si>
  <si>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</si>
  <si>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</si>
  <si>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</si>
  <si>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</si>
  <si>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</si>
  <si>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</si>
  <si>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</si>
  <si>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</si>
  <si>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</si>
  <si>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</si>
  <si>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</si>
  <si>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</si>
  <si>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</si>
  <si>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</si>
  <si>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</si>
  <si>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</si>
  <si>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</si>
  <si>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</si>
  <si>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</si>
  <si>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</si>
  <si>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</si>
  <si>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</si>
  <si>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</si>
  <si>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</si>
  <si>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</si>
  <si>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</si>
  <si>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</si>
  <si>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</si>
  <si>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</si>
  <si>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</si>
  <si>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</si>
  <si>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</si>
  <si>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</si>
  <si>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</si>
  <si>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</si>
  <si>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</si>
  <si>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</si>
  <si>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</si>
  <si>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</si>
  <si>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</si>
  <si>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</si>
  <si>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</si>
  <si>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</si>
  <si>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</si>
  <si>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</si>
  <si>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</si>
  <si>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</si>
  <si>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</si>
  <si>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</si>
  <si>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</si>
  <si>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</si>
  <si>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</si>
  <si>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</si>
  <si>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</si>
  <si>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</si>
  <si>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</si>
  <si>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</si>
  <si>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</si>
  <si>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</si>
  <si>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</si>
  <si>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</si>
  <si>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</si>
  <si>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</si>
  <si>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</si>
  <si>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</si>
  <si>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</si>
  <si>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</si>
  <si>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</si>
  <si>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</si>
  <si>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</si>
  <si>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</si>
  <si>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</si>
  <si>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</si>
  <si>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</si>
  <si>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</si>
  <si>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</si>
  <si>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</si>
  <si>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</si>
  <si>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</si>
  <si>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</si>
  <si>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</si>
  <si>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</si>
  <si>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</si>
  <si>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</si>
  <si>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</si>
  <si>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</si>
  <si>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</si>
  <si>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</si>
  <si>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</si>
  <si>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</si>
  <si>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</si>
  <si>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</si>
  <si>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</si>
  <si>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</si>
  <si>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</si>
  <si>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</si>
  <si>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</si>
  <si>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</si>
  <si>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</si>
  <si>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</si>
  <si>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</si>
  <si>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</si>
  <si>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</si>
  <si>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</si>
  <si>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</si>
  <si>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</si>
  <si>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</si>
  <si>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</si>
  <si>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</si>
  <si>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</si>
  <si>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</si>
  <si>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</si>
  <si>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</si>
  <si>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</si>
  <si>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</si>
  <si>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</si>
  <si>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</si>
  <si>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</si>
  <si>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</si>
  <si>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</si>
  <si>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</si>
  <si>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</si>
  <si>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</si>
  <si>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</si>
  <si>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</si>
  <si>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</si>
  <si>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</si>
  <si>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</si>
  <si>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</si>
  <si>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</si>
  <si>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</si>
  <si>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</si>
  <si>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</si>
  <si>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</si>
  <si>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</si>
  <si>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</si>
  <si>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</si>
  <si>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</si>
  <si>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</si>
  <si>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</si>
  <si>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</si>
  <si>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</si>
  <si>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</si>
  <si>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</si>
  <si>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</si>
  <si>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</si>
  <si>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</si>
  <si>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</si>
  <si>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</si>
  <si>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</si>
  <si>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</si>
  <si>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</si>
  <si>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</si>
  <si>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</si>
  <si>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</si>
  <si>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</si>
  <si>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</si>
  <si>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</si>
  <si>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</si>
  <si>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</si>
  <si>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</si>
  <si>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</si>
  <si>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</si>
  <si>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</si>
  <si>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</si>
  <si>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</si>
  <si>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</si>
  <si>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</si>
  <si>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</si>
  <si>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</si>
  <si>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</si>
  <si>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</si>
  <si>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</si>
  <si>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</si>
  <si>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</si>
  <si>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</si>
  <si>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</si>
  <si>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</si>
  <si>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</si>
  <si>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</si>
  <si>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</si>
  <si>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</si>
  <si>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</si>
  <si>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</si>
  <si>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</si>
  <si>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</si>
  <si>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</si>
  <si>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</si>
  <si>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</si>
  <si>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</si>
  <si>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</si>
  <si>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</si>
  <si>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</si>
  <si>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</si>
  <si>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</si>
  <si>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</si>
  <si>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</si>
  <si>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</si>
  <si>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</si>
  <si>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</si>
  <si>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</si>
  <si>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</si>
  <si>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</si>
  <si>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</si>
  <si>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</si>
  <si>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</si>
  <si>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</si>
  <si>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</si>
  <si>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</si>
  <si>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</si>
  <si>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</si>
  <si>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</si>
  <si>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</si>
  <si>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</si>
  <si>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</si>
  <si>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</si>
  <si>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</si>
  <si>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</si>
  <si>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</si>
  <si>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</si>
  <si>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</si>
  <si>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</si>
  <si>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</si>
  <si>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</si>
  <si>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</si>
  <si>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</si>
  <si>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</si>
  <si>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</si>
  <si>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</si>
  <si>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</si>
  <si>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</si>
  <si>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</si>
  <si>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</si>
  <si>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</si>
  <si>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</si>
  <si>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</si>
  <si>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</si>
  <si>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</si>
  <si>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</si>
  <si>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</si>
  <si>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</si>
  <si>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</si>
  <si>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</si>
  <si>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</si>
  <si>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</si>
  <si>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</si>
  <si>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</si>
  <si>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</si>
  <si>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</si>
  <si>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</si>
  <si>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</si>
  <si>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</si>
  <si>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</si>
  <si>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</si>
  <si>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</si>
  <si>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</si>
  <si>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</si>
  <si>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</si>
  <si>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</si>
  <si>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</si>
  <si>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</si>
  <si>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</si>
  <si>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</si>
  <si>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</si>
  <si>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</si>
  <si>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</si>
  <si>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</si>
  <si>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</si>
  <si>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</si>
  <si>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</si>
  <si>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</si>
  <si>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</si>
  <si>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</si>
  <si>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</si>
  <si>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</si>
  <si>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</si>
  <si>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</si>
  <si>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</si>
  <si>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</si>
  <si>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</si>
  <si>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</si>
  <si>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</si>
  <si>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</si>
  <si>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</si>
  <si>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</si>
  <si>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</si>
  <si>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</si>
  <si>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</si>
  <si>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</si>
  <si>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</si>
  <si>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</si>
  <si>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</si>
  <si>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</si>
  <si>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</si>
  <si>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</si>
  <si>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</si>
  <si>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</si>
  <si>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</si>
  <si>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</si>
  <si>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</si>
  <si>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</si>
  <si>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</si>
  <si>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</si>
  <si>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</si>
  <si>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</si>
  <si>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</si>
  <si>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</si>
  <si>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</si>
  <si>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</si>
  <si>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</si>
  <si>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</si>
  <si>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</si>
  <si>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</si>
  <si>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</si>
  <si>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</si>
  <si>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</si>
  <si>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</si>
  <si>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</si>
  <si>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</si>
  <si>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</si>
  <si>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</si>
  <si>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</si>
  <si>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</si>
  <si>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</si>
  <si>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</si>
  <si>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</si>
  <si>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</si>
  <si>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</si>
  <si>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</si>
  <si>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</si>
  <si>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</si>
  <si>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</si>
  <si>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</si>
  <si>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</si>
  <si>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</si>
  <si>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</si>
  <si>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</si>
  <si>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</si>
  <si>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</si>
  <si>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</si>
  <si>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</si>
  <si>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</si>
  <si>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</si>
  <si>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</si>
  <si>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</si>
  <si>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</si>
  <si>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</si>
  <si>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</si>
  <si>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</si>
  <si>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</si>
  <si>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</si>
  <si>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</si>
  <si>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</si>
  <si>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</si>
  <si>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</si>
  <si>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</si>
  <si>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</si>
  <si>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</si>
  <si>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</si>
  <si>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</si>
  <si>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</si>
  <si>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</si>
  <si>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</si>
  <si>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</si>
  <si>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</si>
  <si>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</si>
  <si>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</si>
  <si>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</si>
  <si>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</si>
  <si>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</si>
  <si>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</si>
  <si>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</si>
  <si>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</si>
  <si>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</si>
  <si>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</si>
  <si>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</si>
  <si>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</si>
  <si>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</si>
  <si>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</si>
  <si>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</si>
  <si>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</si>
  <si>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</si>
  <si>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</si>
  <si>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</si>
  <si>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</si>
  <si>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</si>
  <si>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</si>
  <si>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</si>
  <si>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</si>
  <si>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</si>
  <si>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</si>
  <si>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</si>
  <si>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</si>
  <si>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</si>
  <si>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</si>
  <si>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</si>
  <si>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</si>
  <si>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</si>
  <si>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</si>
  <si>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</si>
  <si>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</si>
  <si>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</si>
  <si>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</si>
  <si>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</si>
  <si>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</si>
  <si>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</si>
  <si>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</si>
  <si>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</si>
  <si>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</si>
  <si>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</si>
  <si>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</si>
  <si>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</si>
  <si>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</si>
  <si>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</si>
  <si>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</si>
  <si>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</si>
  <si>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</si>
  <si>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</si>
  <si>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</si>
  <si>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</si>
  <si>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</si>
  <si>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</si>
  <si>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</si>
  <si>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</si>
  <si>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</si>
  <si>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</si>
  <si>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</si>
  <si>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</si>
  <si>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</si>
  <si>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</si>
  <si>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</si>
  <si>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</si>
  <si>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</si>
  <si>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</si>
  <si>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</si>
  <si>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</si>
  <si>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</si>
  <si>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</si>
  <si>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</si>
  <si>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</si>
  <si>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</si>
  <si>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</si>
  <si>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</si>
  <si>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</si>
  <si>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</si>
  <si>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</si>
  <si>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</si>
  <si>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</si>
  <si>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</si>
  <si>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</si>
  <si>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</si>
  <si>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</si>
  <si>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</si>
  <si>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</si>
  <si>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</si>
  <si>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</si>
  <si>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</si>
  <si>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</si>
  <si>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</si>
  <si>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</si>
  <si>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</si>
  <si>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</si>
  <si>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</si>
  <si>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</si>
  <si>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</si>
  <si>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</si>
  <si>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</si>
  <si>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</si>
  <si>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</si>
  <si>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</si>
  <si>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</si>
  <si>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</si>
  <si>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</si>
  <si>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</si>
  <si>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</si>
  <si>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</si>
  <si>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</si>
  <si>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</si>
  <si>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</si>
  <si>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</si>
  <si>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</si>
  <si>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</si>
  <si>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</si>
  <si>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</si>
  <si>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</si>
  <si>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</si>
  <si>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</si>
  <si>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</si>
  <si>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</si>
  <si>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</si>
  <si>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</si>
  <si>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</si>
  <si>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</si>
  <si>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</si>
  <si>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</si>
  <si>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</si>
  <si>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</si>
  <si>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</si>
  <si>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</si>
  <si>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</si>
  <si>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</si>
  <si>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</si>
  <si>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</si>
  <si>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</si>
  <si>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</si>
  <si>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</si>
  <si>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</si>
  <si>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</si>
  <si>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</si>
  <si>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</si>
  <si>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</si>
  <si>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</si>
  <si>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</si>
  <si>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</si>
  <si>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</si>
  <si>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</si>
  <si>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</si>
  <si>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</si>
  <si>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</si>
  <si>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</si>
  <si>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</si>
  <si>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</si>
  <si>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</si>
  <si>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</si>
  <si>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</si>
  <si>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</si>
  <si>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</si>
  <si>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</si>
  <si>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</si>
  <si>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</si>
  <si>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</si>
  <si>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</si>
  <si>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</si>
  <si>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</si>
  <si>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</si>
  <si>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</si>
  <si>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</si>
  <si>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</si>
  <si>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</si>
  <si>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</si>
  <si>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</si>
  <si>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</si>
  <si>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</si>
  <si>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</si>
  <si>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</si>
  <si>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</si>
  <si>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</si>
  <si>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</si>
  <si>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</si>
  <si>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</si>
  <si>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</si>
  <si>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</si>
  <si>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</si>
  <si>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</si>
  <si>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</si>
  <si>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</si>
  <si>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</si>
  <si>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</si>
  <si>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</si>
  <si>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</si>
  <si>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</si>
  <si>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</si>
  <si>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</si>
  <si>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</si>
  <si>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</si>
  <si>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</si>
  <si>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</si>
  <si>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</si>
  <si>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</si>
  <si>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</si>
  <si>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</si>
  <si>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</si>
  <si>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</si>
  <si>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</si>
  <si>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</si>
  <si>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</si>
  <si>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</si>
  <si>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</si>
  <si>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</si>
  <si>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</si>
  <si>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</si>
  <si>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</si>
  <si>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</si>
  <si>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</si>
  <si>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</si>
  <si>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</si>
  <si>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</si>
  <si>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</si>
  <si>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</si>
  <si>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</si>
  <si>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</si>
  <si>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</si>
  <si>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</si>
  <si>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</si>
  <si>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</si>
  <si>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</si>
  <si>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</si>
  <si>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</si>
  <si>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</si>
  <si>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</si>
  <si>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</si>
  <si>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</si>
  <si>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</si>
  <si>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</si>
  <si>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</si>
  <si>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</si>
  <si>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</si>
  <si>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</si>
  <si>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</si>
  <si>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</si>
  <si>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</si>
  <si>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</si>
  <si>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</si>
  <si>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</si>
  <si>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</si>
  <si>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</si>
  <si>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</si>
  <si>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</si>
  <si>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</si>
  <si>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</si>
  <si>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</si>
  <si>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</si>
  <si>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</si>
  <si>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</si>
  <si>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</si>
  <si>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</si>
  <si>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</si>
  <si>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</si>
  <si>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</si>
  <si>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</si>
  <si>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</si>
  <si>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</si>
  <si>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</si>
  <si>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</si>
  <si>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</si>
  <si>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</si>
  <si>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</si>
  <si>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</si>
  <si>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</si>
  <si>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</si>
  <si>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</si>
  <si>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</si>
  <si>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</si>
  <si>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</si>
  <si>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</si>
  <si>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</si>
  <si>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</si>
  <si>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</si>
  <si>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</si>
  <si>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</si>
  <si>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</si>
  <si>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</si>
  <si>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</si>
  <si>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</si>
  <si>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</si>
  <si>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</si>
  <si>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</si>
  <si>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</si>
  <si>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</si>
  <si>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</si>
  <si>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</si>
  <si>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</si>
  <si>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</si>
  <si>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</si>
  <si>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</si>
  <si>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</si>
  <si>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</si>
  <si>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</si>
  <si>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</si>
  <si>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</si>
  <si>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</si>
  <si>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</si>
  <si>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</si>
  <si>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</si>
  <si>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</si>
  <si>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</si>
  <si>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</si>
  <si>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</si>
  <si>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</si>
  <si>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</si>
  <si>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</si>
  <si>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</si>
  <si>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</si>
  <si>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</si>
  <si>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</si>
  <si>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</si>
  <si>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</si>
  <si>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</si>
  <si>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</si>
  <si>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</si>
  <si>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</si>
  <si>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</si>
  <si>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</si>
  <si>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</si>
  <si>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</si>
  <si>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</si>
  <si>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</si>
  <si>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</si>
  <si>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</si>
  <si>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</si>
  <si>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</si>
  <si>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</si>
  <si>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</si>
  <si>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</si>
  <si>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</si>
  <si>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</si>
  <si>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</si>
  <si>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</si>
  <si>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</si>
  <si>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</si>
  <si>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</si>
  <si>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</si>
  <si>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</si>
  <si>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</si>
  <si>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</si>
  <si>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</si>
  <si>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</si>
  <si>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</si>
  <si>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</si>
  <si>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</si>
  <si>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</si>
  <si>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</si>
  <si>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</si>
  <si>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</si>
  <si>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</si>
  <si>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</si>
  <si>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</si>
  <si>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</si>
  <si>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</si>
  <si>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</si>
  <si>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</si>
  <si>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</si>
  <si>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</si>
  <si>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</si>
  <si>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</si>
  <si>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</si>
  <si>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</si>
  <si>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</si>
  <si>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</si>
  <si>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</si>
  <si>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</si>
  <si>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</si>
  <si>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</si>
  <si>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</si>
  <si>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</si>
  <si>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</si>
  <si>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</si>
  <si>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733144</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</si>
  <si>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</si>
  <si>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</si>
  <si>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</si>
  <si>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</si>
  <si>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</si>
  <si>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</si>
  <si>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</si>
  <si>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</si>
  <si>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</si>
  <si>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</si>
  <si>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</si>
  <si>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</si>
  <si>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</si>
  <si>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</si>
  <si>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</si>
  <si>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</si>
  <si>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</si>
  <si>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</si>
  <si>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</si>
  <si>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</si>
  <si>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</si>
  <si>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</si>
  <si>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</si>
  <si>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</si>
  <si>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</si>
  <si>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</si>
  <si>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</si>
  <si>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</si>
  <si>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</si>
  <si>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</si>
  <si>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</si>
  <si>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</si>
  <si>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</si>
  <si>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</si>
  <si>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733243</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</si>
  <si>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</si>
  <si>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</si>
  <si>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</si>
  <si>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</si>
  <si>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</si>
  <si>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</si>
  <si>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</si>
  <si>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</si>
  <si>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</si>
  <si>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</si>
  <si>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</si>
  <si>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</si>
  <si>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</si>
  <si>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</si>
  <si>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</si>
  <si>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</si>
  <si>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</si>
  <si>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</si>
  <si>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</si>
  <si>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</si>
  <si>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</si>
  <si>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741141</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</si>
  <si>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</si>
  <si>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</si>
  <si>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</si>
  <si>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</si>
  <si>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</si>
  <si>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</si>
  <si>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</si>
  <si>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</si>
  <si>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</si>
  <si>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</si>
  <si>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</si>
  <si>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</si>
  <si>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</si>
  <si>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</si>
  <si>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</si>
  <si>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</si>
  <si>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</si>
  <si>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</si>
  <si>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</si>
  <si>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</si>
  <si>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</si>
  <si>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</si>
  <si>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</si>
  <si>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</si>
  <si>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</si>
  <si>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</si>
  <si>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</si>
  <si>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</si>
  <si>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</si>
  <si>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</si>
  <si>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</si>
  <si>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</si>
  <si>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</si>
  <si>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</si>
  <si>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</si>
  <si>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</si>
  <si>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</si>
  <si>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</si>
  <si>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</si>
  <si>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</si>
  <si>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</si>
  <si>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</si>
  <si>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741520</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</si>
  <si>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</si>
  <si>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</si>
  <si>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</si>
  <si>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</si>
  <si>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</si>
  <si>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</si>
  <si>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</si>
  <si>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</si>
  <si>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</si>
  <si>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</si>
  <si>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</si>
  <si>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</si>
  <si>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</si>
  <si>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</si>
  <si>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</si>
  <si>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</si>
  <si>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</si>
  <si>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</si>
  <si>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</si>
  <si>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</si>
  <si>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</si>
  <si>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</si>
  <si>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</si>
  <si>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</si>
  <si>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</si>
  <si>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</si>
  <si>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</si>
  <si>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</si>
  <si>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</si>
  <si>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741560</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</si>
  <si>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</si>
  <si>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</si>
  <si>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</si>
  <si>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</si>
  <si>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</si>
  <si>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</si>
  <si>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</si>
  <si>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</si>
  <si>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</si>
  <si>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</si>
  <si>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</si>
  <si>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</si>
  <si>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</si>
  <si>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</si>
  <si>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</si>
  <si>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</si>
  <si>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</si>
  <si>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</si>
  <si>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</si>
  <si>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</si>
  <si>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</si>
  <si>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</si>
  <si>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</si>
  <si>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</si>
  <si>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</si>
  <si>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</si>
  <si>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</si>
  <si>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</si>
  <si>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</si>
  <si>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</si>
  <si>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</si>
  <si>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</si>
  <si>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</si>
  <si>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</si>
  <si>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</si>
  <si>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</si>
  <si>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</si>
  <si>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</si>
  <si>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</si>
  <si>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</si>
  <si>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</si>
  <si>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</si>
  <si>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</si>
  <si>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</si>
  <si>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742143</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</si>
  <si>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</si>
  <si>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</si>
  <si>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</si>
  <si>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</si>
  <si>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</si>
  <si>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</si>
  <si>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</si>
  <si>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</si>
  <si>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</si>
  <si>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</si>
  <si>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</si>
  <si>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</si>
  <si>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</si>
  <si>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</si>
  <si>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</si>
  <si>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</si>
  <si>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</si>
  <si>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</si>
  <si>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</si>
  <si>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</si>
  <si>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</si>
  <si>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</si>
  <si>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</si>
  <si>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</si>
  <si>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</si>
  <si>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</si>
  <si>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</si>
  <si>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</si>
  <si>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</si>
  <si>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</si>
  <si>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</si>
  <si>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</si>
  <si>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</si>
  <si>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</si>
  <si>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</si>
  <si>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</si>
  <si>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</si>
  <si>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</si>
  <si>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</si>
  <si>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</si>
  <si>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</si>
  <si>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</si>
  <si>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</si>
  <si>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</si>
  <si>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</si>
  <si>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</si>
  <si>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</si>
  <si>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</si>
  <si>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</si>
  <si>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</si>
  <si>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</si>
  <si>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</si>
  <si>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</si>
  <si>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</si>
  <si>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</si>
  <si>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</si>
  <si>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</si>
  <si>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</si>
  <si>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</si>
  <si>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</si>
  <si>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</si>
  <si>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</si>
  <si>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</si>
  <si>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</si>
  <si>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</si>
  <si>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</si>
  <si>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</si>
  <si>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</si>
  <si>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</si>
  <si>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</si>
  <si>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</si>
  <si>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</si>
  <si>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</si>
  <si>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</si>
  <si>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</si>
  <si>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</si>
  <si>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</si>
  <si>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</si>
  <si>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</si>
  <si>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</si>
  <si>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</si>
  <si>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</si>
  <si>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</si>
  <si>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</si>
  <si>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</si>
  <si>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</si>
  <si>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</si>
  <si>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</si>
  <si>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</si>
  <si>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</si>
  <si>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</si>
  <si>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</si>
  <si>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</si>
  <si>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</si>
  <si>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</si>
  <si>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</si>
  <si>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</si>
  <si>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</si>
  <si>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</si>
  <si>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</si>
  <si>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</si>
  <si>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</si>
  <si>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</si>
  <si>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</si>
  <si>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</si>
  <si>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</si>
  <si>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</si>
  <si>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</si>
  <si>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</si>
  <si>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</si>
  <si>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</si>
  <si>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</si>
  <si>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</si>
  <si>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</si>
  <si>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</si>
  <si>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</si>
  <si>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743340</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</si>
  <si>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</si>
  <si>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</si>
  <si>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</si>
  <si>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</si>
  <si>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</si>
  <si>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</si>
  <si>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</si>
  <si>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</si>
  <si>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</si>
  <si>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</si>
  <si>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</si>
  <si>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</si>
  <si>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</si>
  <si>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</si>
  <si>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</si>
  <si>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</si>
  <si>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</si>
  <si>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</si>
  <si>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</si>
  <si>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</si>
  <si>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</si>
  <si>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</si>
  <si>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</si>
  <si>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</si>
  <si>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</si>
  <si>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</si>
  <si>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</si>
  <si>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</si>
  <si>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</si>
  <si>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</si>
  <si>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</si>
  <si>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</si>
  <si>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</si>
  <si>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</si>
  <si>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</si>
  <si>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</si>
  <si>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</si>
  <si>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</si>
  <si>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</si>
  <si>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</si>
  <si>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</si>
  <si>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</si>
  <si>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</si>
  <si>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</si>
  <si>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</si>
  <si>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</si>
  <si>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</si>
  <si>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</si>
  <si>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</si>
  <si>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</si>
  <si>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</si>
  <si>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</si>
  <si>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</si>
  <si>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</si>
  <si>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</si>
  <si>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</si>
  <si>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</si>
  <si>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</si>
  <si>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</si>
  <si>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</si>
  <si>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</si>
  <si>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744241</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</si>
  <si>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</si>
  <si>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</si>
  <si>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</si>
  <si>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</si>
  <si>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</si>
  <si>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</si>
  <si>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</si>
  <si>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</si>
  <si>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</si>
  <si>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</si>
  <si>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</si>
  <si>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</si>
  <si>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</si>
  <si>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</si>
  <si>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</si>
  <si>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</si>
  <si>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</si>
  <si>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</si>
  <si>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</si>
  <si>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</si>
  <si>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</si>
  <si>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</si>
  <si>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</si>
  <si>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</si>
  <si>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</si>
  <si>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</si>
  <si>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</si>
  <si>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745141</t>
  </si>
  <si>
    <t xml:space="preserve">Остали приходи у корист нивоа градова                                                                 </t>
  </si>
  <si>
    <t>745142</t>
  </si>
  <si>
    <t xml:space="preserve">Закупнина за стан у државној својини у корист нивоа градова                                                             </t>
  </si>
  <si>
    <t>745143</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</si>
  <si>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</si>
  <si>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</si>
  <si>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</si>
  <si>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</si>
  <si>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</si>
  <si>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</si>
  <si>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</si>
  <si>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</si>
  <si>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</si>
  <si>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</si>
  <si>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</si>
  <si>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</si>
  <si>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</si>
  <si>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</si>
  <si>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</si>
  <si>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</si>
  <si>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</si>
  <si>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</si>
  <si>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</si>
  <si>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</si>
  <si>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</si>
  <si>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</si>
  <si>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</si>
  <si>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</si>
  <si>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</si>
  <si>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</si>
  <si>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</si>
  <si>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</si>
  <si>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</si>
  <si>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</si>
  <si>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</si>
  <si>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</si>
  <si>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</si>
  <si>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</si>
  <si>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</si>
  <si>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</si>
  <si>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</si>
  <si>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</si>
  <si>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</si>
  <si>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</si>
  <si>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</si>
  <si>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</si>
  <si>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</si>
  <si>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</si>
  <si>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 xml:space="preserve">Приходи из буџета                                                                    </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</si>
  <si>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</si>
  <si>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</si>
  <si>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</si>
  <si>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</si>
  <si>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</si>
  <si>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</si>
  <si>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</si>
  <si>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</si>
  <si>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</si>
  <si>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</si>
  <si>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</si>
  <si>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</si>
  <si>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</si>
  <si>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</si>
  <si>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</si>
  <si>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</si>
  <si>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</si>
  <si>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</si>
  <si>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</si>
  <si>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</si>
  <si>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</si>
  <si>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</si>
  <si>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</si>
  <si>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</si>
  <si>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</si>
  <si>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</si>
  <si>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</si>
  <si>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</si>
  <si>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</si>
  <si>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</si>
  <si>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</si>
  <si>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</si>
  <si>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</si>
  <si>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</si>
  <si>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</si>
  <si>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</si>
  <si>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</si>
  <si>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</si>
  <si>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</si>
  <si>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</si>
  <si>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</si>
  <si>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</si>
  <si>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</si>
  <si>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</si>
  <si>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</si>
  <si>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</si>
  <si>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</si>
  <si>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</si>
  <si>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</si>
  <si>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</si>
  <si>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</si>
  <si>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</si>
  <si>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</si>
  <si>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</si>
  <si>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</si>
  <si>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</si>
  <si>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</si>
  <si>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</si>
  <si>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</si>
  <si>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</si>
  <si>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</si>
  <si>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</si>
  <si>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</si>
  <si>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</si>
  <si>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</si>
  <si>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</si>
  <si>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</si>
  <si>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</si>
  <si>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</si>
  <si>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</si>
  <si>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</si>
  <si>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</si>
  <si>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</si>
  <si>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</si>
  <si>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</si>
  <si>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</si>
  <si>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</si>
  <si>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</si>
  <si>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</si>
  <si>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</si>
  <si>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</si>
  <si>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</si>
  <si>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</si>
  <si>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</si>
  <si>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</si>
  <si>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</si>
  <si>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</si>
  <si>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</si>
  <si>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</si>
  <si>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</si>
  <si>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</si>
  <si>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</si>
  <si>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</si>
  <si>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</si>
  <si>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</si>
  <si>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</si>
  <si>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</si>
  <si>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</si>
  <si>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</si>
  <si>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</si>
  <si>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</si>
  <si>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</si>
  <si>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</si>
  <si>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</si>
  <si>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</si>
  <si>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</si>
  <si>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</si>
  <si>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</si>
  <si>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</si>
  <si>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</si>
  <si>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</si>
  <si>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</si>
  <si>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</si>
  <si>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</si>
  <si>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</si>
  <si>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</si>
  <si>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</si>
  <si>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</si>
  <si>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</si>
  <si>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</si>
  <si>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</si>
  <si>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</si>
  <si>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</si>
  <si>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</si>
  <si>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</si>
  <si>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</si>
  <si>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</si>
  <si>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</si>
  <si>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</si>
  <si>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</si>
  <si>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</si>
  <si>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</si>
  <si>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</si>
  <si>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</si>
  <si>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</si>
  <si>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</si>
  <si>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</si>
  <si>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</si>
  <si>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</si>
  <si>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</si>
  <si>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</si>
  <si>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</si>
  <si>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</si>
  <si>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</si>
  <si>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</si>
  <si>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</si>
  <si>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</si>
  <si>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</si>
  <si>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</si>
  <si>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</si>
  <si>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</si>
  <si>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</si>
  <si>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</si>
  <si>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</si>
  <si>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</si>
  <si>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</si>
  <si>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</si>
  <si>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</si>
  <si>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</si>
  <si>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</si>
  <si>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</si>
  <si>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</si>
  <si>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</si>
  <si>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</si>
  <si>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</si>
  <si>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</si>
  <si>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</si>
  <si>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</si>
  <si>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</si>
  <si>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</si>
  <si>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</si>
  <si>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</si>
  <si>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</si>
  <si>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</si>
  <si>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</si>
  <si>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</si>
  <si>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</si>
  <si>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</si>
  <si>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</si>
  <si>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</si>
  <si>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</si>
  <si>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</si>
  <si>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</si>
  <si>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</si>
  <si>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</si>
  <si>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</si>
  <si>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</si>
  <si>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</si>
  <si>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</si>
  <si>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</si>
  <si>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</si>
  <si>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</si>
  <si>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</si>
  <si>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</si>
  <si>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</si>
  <si>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</si>
  <si>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</si>
  <si>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</si>
  <si>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</si>
  <si>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</si>
  <si>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</si>
  <si>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</si>
  <si>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</si>
  <si>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</si>
  <si>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</si>
  <si>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</si>
  <si>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</si>
  <si>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</si>
  <si>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</si>
  <si>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</si>
  <si>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</si>
  <si>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</si>
  <si>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</si>
  <si>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</si>
  <si>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</si>
  <si>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</si>
  <si>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</si>
  <si>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</si>
  <si>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</si>
  <si>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</si>
  <si>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</si>
  <si>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</si>
  <si>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</si>
  <si>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</si>
  <si>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</si>
  <si>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</si>
  <si>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</si>
  <si>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</si>
  <si>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</si>
  <si>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</si>
  <si>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</si>
  <si>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</si>
  <si>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</si>
  <si>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</si>
  <si>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</si>
  <si>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</si>
  <si>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</si>
  <si>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</si>
  <si>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</si>
  <si>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</si>
  <si>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</si>
  <si>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</si>
  <si>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</si>
  <si>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</si>
  <si>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</si>
  <si>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</si>
  <si>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</si>
  <si>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</si>
  <si>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</si>
  <si>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</si>
  <si>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</si>
  <si>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</si>
  <si>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</si>
  <si>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</si>
  <si>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</si>
  <si>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</si>
  <si>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</si>
  <si>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</si>
  <si>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</si>
  <si>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</si>
  <si>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</si>
  <si>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</si>
  <si>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</si>
  <si>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</si>
  <si>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</si>
  <si>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</si>
  <si>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</si>
  <si>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</si>
  <si>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</si>
  <si>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</si>
  <si>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</si>
  <si>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</si>
  <si>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</si>
  <si>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</si>
  <si>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</si>
  <si>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</si>
  <si>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</si>
  <si>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</si>
  <si>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</si>
  <si>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</si>
  <si>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</si>
  <si>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</si>
  <si>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</si>
  <si>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</si>
  <si>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</si>
  <si>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</si>
  <si>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</si>
  <si>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</si>
  <si>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</si>
  <si>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</si>
  <si>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</si>
  <si>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</si>
  <si>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</si>
  <si>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</si>
  <si>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</si>
  <si>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</si>
  <si>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</si>
  <si>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</si>
  <si>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</si>
  <si>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</si>
  <si>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</si>
  <si>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</si>
  <si>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</si>
  <si>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</si>
  <si>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</si>
  <si>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</si>
  <si>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</si>
  <si>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</si>
  <si>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</si>
  <si>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</si>
  <si>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</si>
  <si>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</si>
  <si>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</si>
  <si>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</si>
  <si>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</si>
  <si>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</si>
  <si>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</si>
  <si>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</si>
  <si>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</si>
  <si>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</si>
  <si>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</si>
  <si>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</si>
  <si>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</si>
  <si>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</si>
  <si>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</si>
  <si>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</si>
  <si>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</si>
  <si>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</si>
  <si>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</si>
  <si>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</si>
  <si>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</si>
  <si>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</si>
  <si>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</si>
  <si>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</si>
  <si>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</si>
  <si>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</si>
  <si>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</si>
  <si>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</si>
  <si>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</si>
  <si>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</si>
  <si>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</si>
  <si>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</si>
  <si>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</si>
  <si>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</si>
  <si>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</si>
  <si>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</si>
  <si>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</si>
  <si>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</si>
  <si>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</si>
  <si>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</si>
  <si>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</si>
  <si>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</si>
  <si>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</si>
  <si>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</si>
  <si>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</si>
  <si>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</si>
  <si>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</si>
  <si>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</si>
  <si>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</si>
  <si>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</si>
  <si>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</si>
  <si>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</si>
  <si>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</si>
  <si>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</si>
  <si>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</si>
  <si>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</si>
  <si>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</si>
  <si>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</si>
  <si>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</si>
  <si>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</si>
  <si>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</si>
  <si>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</si>
  <si>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</si>
  <si>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</si>
  <si>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</si>
  <si>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</si>
  <si>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</si>
  <si>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</si>
  <si>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</si>
  <si>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</si>
  <si>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</si>
  <si>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</si>
  <si>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</si>
  <si>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</si>
  <si>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</si>
  <si>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</si>
  <si>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</si>
  <si>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</si>
  <si>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</si>
  <si>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</si>
  <si>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</si>
  <si>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</si>
  <si>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</si>
  <si>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</si>
  <si>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</si>
  <si>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</si>
  <si>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</si>
  <si>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</si>
  <si>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</si>
  <si>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</si>
  <si>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</si>
  <si>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</si>
  <si>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</si>
  <si>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</si>
  <si>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</si>
  <si>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</si>
  <si>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</si>
  <si>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</si>
  <si>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</si>
  <si>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</si>
  <si>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</si>
  <si>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</si>
  <si>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</si>
  <si>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</si>
  <si>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</si>
  <si>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</si>
  <si>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</si>
  <si>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</si>
  <si>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</si>
  <si>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</si>
  <si>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</si>
  <si>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</si>
  <si>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</si>
  <si>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</si>
  <si>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</si>
  <si>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</si>
  <si>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</si>
  <si>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</si>
  <si>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</si>
  <si>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</si>
  <si>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</si>
  <si>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</si>
  <si>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</si>
  <si>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</si>
  <si>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</si>
  <si>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</si>
  <si>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</si>
  <si>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</si>
  <si>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</si>
  <si>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</si>
  <si>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</si>
  <si>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</si>
  <si>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</si>
  <si>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</si>
  <si>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</si>
  <si>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</si>
  <si>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</si>
  <si>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</si>
  <si>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</si>
  <si>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</si>
  <si>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</si>
  <si>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</si>
  <si>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</si>
  <si>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</si>
  <si>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</si>
  <si>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</si>
  <si>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</si>
  <si>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</si>
  <si>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</si>
  <si>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</si>
  <si>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</si>
  <si>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</si>
  <si>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</si>
  <si>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</si>
  <si>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</si>
  <si>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</si>
  <si>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</si>
  <si>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</si>
  <si>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</si>
  <si>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</si>
  <si>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</si>
  <si>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</si>
  <si>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</si>
  <si>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</si>
  <si>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</si>
  <si>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</si>
  <si>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</si>
  <si>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</si>
  <si>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</si>
  <si>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</si>
  <si>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</si>
  <si>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</si>
  <si>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</si>
  <si>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</si>
  <si>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</si>
  <si>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</si>
  <si>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</si>
  <si>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</si>
  <si>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</si>
  <si>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</si>
  <si>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</si>
  <si>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</si>
  <si>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</si>
  <si>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</si>
  <si>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</si>
  <si>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</si>
  <si>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</si>
  <si>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</si>
  <si>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</si>
  <si>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</si>
  <si>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</si>
  <si>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</si>
  <si>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</si>
  <si>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</si>
  <si>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</si>
  <si>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</si>
  <si>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</si>
  <si>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</si>
  <si>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</si>
  <si>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</si>
  <si>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</si>
  <si>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</si>
  <si>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</si>
  <si>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</si>
  <si>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</si>
  <si>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</si>
  <si>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</si>
  <si>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</si>
  <si>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</si>
  <si>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</si>
  <si>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</si>
  <si>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</si>
  <si>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</si>
  <si>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</si>
  <si>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</si>
  <si>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</si>
  <si>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</si>
  <si>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</si>
  <si>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</si>
  <si>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</si>
  <si>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</si>
  <si>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</si>
  <si>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</si>
  <si>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</si>
  <si>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</si>
  <si>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</si>
  <si>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</si>
  <si>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</si>
  <si>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</si>
  <si>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</si>
  <si>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</si>
  <si>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</si>
  <si>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</si>
  <si>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</si>
  <si>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</si>
  <si>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</si>
  <si>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</si>
  <si>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</si>
  <si>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</si>
  <si>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</si>
  <si>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</si>
  <si>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</si>
  <si>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</si>
  <si>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</si>
  <si>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</si>
  <si>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</si>
  <si>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</si>
  <si>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</si>
  <si>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</si>
  <si>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</si>
  <si>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</si>
  <si>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</si>
  <si>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</si>
  <si>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</si>
  <si>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</si>
  <si>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</si>
  <si>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</si>
  <si>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</si>
  <si>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</si>
  <si>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</si>
  <si>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</si>
  <si>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Месне заједнице</t>
  </si>
  <si>
    <t>Канцеларија за младе</t>
  </si>
  <si>
    <t>Заштитник грађана</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</si>
  <si>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</si>
  <si>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</si>
  <si>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</si>
  <si>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</si>
  <si>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</si>
  <si>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</si>
  <si>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</si>
  <si>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</si>
  <si>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</si>
  <si>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</si>
  <si>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</si>
  <si>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</si>
  <si>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</si>
  <si>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</si>
  <si>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</si>
  <si>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</si>
  <si>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</si>
  <si>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</si>
  <si>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</si>
  <si>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</si>
  <si>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</si>
  <si>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</si>
  <si>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</si>
  <si>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</si>
  <si>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</si>
  <si>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</si>
  <si>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</si>
  <si>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</si>
  <si>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</si>
  <si>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</si>
  <si>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ПОРЕЗ НА ИМОВИНУ</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</si>
  <si>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</si>
  <si>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</si>
  <si>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</si>
  <si>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</si>
  <si>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</si>
  <si>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</si>
  <si>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</si>
  <si>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</si>
  <si>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</si>
  <si>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</si>
  <si>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</si>
  <si>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</si>
  <si>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</si>
  <si>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</si>
  <si>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</si>
  <si>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</si>
  <si>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ТРАНСФЕРИ ОД ДРУГИХ НИВОА ВЛАСТИ</t>
  </si>
  <si>
    <t>Ненаменски трансфери од Републике у корист нивоа градова</t>
  </si>
  <si>
    <t>Текући наменски трансфери, у ужем смислу, од Републике у корист нивоа градова</t>
  </si>
  <si>
    <t>Капитални трансфери од других нивоа власти у корист нивоа градова</t>
  </si>
  <si>
    <t>ДРУГИ ПРИХОДИ</t>
  </si>
  <si>
    <t>ПРИХОДИ ОД ИМОВИНЕ</t>
  </si>
  <si>
    <t>Приходи буџета града од камата на средства консолидованог рачуна трезора укључена у депозит банака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</si>
  <si>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</si>
  <si>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</si>
  <si>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</si>
  <si>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</si>
  <si>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Накнада за воде</t>
  </si>
  <si>
    <t>ПРИХОДИ ОД ПРОДАЈЕ ДОБАРА И УСЛУГА</t>
  </si>
  <si>
    <t>Приходи од закупнине за грађевинско земљиште у корист нивоа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</si>
  <si>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</si>
  <si>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</si>
  <si>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Приходи од новчаних казни за прекршаје у корист нивоа градова</t>
  </si>
  <si>
    <t>ДОБРОВОЉНИ ТРАНСФЕРИ ОД ФИЗИЧКИХ И ПРАВНИХ ЛИЦА</t>
  </si>
  <si>
    <t>Текући добровољни трансфери од физичких и правних лица у корист нивоа градова</t>
  </si>
  <si>
    <t>Капитални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</si>
  <si>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</si>
  <si>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</si>
  <si>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</si>
  <si>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</si>
  <si>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</si>
  <si>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ПРИРОДНЕ ИМОВИНЕ</t>
  </si>
  <si>
    <t>Примања од продаје земљишта</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</si>
  <si>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</si>
  <si>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</si>
  <si>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</si>
  <si>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</si>
  <si>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</si>
  <si>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</si>
  <si>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</si>
  <si>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</si>
  <si>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</si>
  <si>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</si>
  <si>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</si>
  <si>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</si>
  <si>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</si>
  <si>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</si>
  <si>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</si>
  <si>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Остали приходи у корист нивоа градова</t>
  </si>
  <si>
    <t>Закупнина за стан у државној својини у корист нивоа града</t>
  </si>
  <si>
    <t>Део добити јавног предузећа према одлуци управног одбора јавног предузећа у корист нивоа градова</t>
  </si>
  <si>
    <t>Средства из осталих извора</t>
  </si>
  <si>
    <t>Екон. клас.</t>
  </si>
  <si>
    <t>ВРСТЕ РАСХОДА И ИЗДАТАКА</t>
  </si>
  <si>
    <t>Сопствени и други приходи</t>
  </si>
  <si>
    <t>Укупна средства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</si>
  <si>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</si>
  <si>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</si>
  <si>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</si>
  <si>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</si>
  <si>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</si>
  <si>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</si>
  <si>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</si>
  <si>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</si>
  <si>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</si>
  <si>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</si>
  <si>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</si>
  <si>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</si>
  <si>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</si>
  <si>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</si>
  <si>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</si>
  <si>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</si>
  <si>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</si>
  <si>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</si>
  <si>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</si>
  <si>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</si>
  <si>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</si>
  <si>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</si>
  <si>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</si>
  <si>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</si>
  <si>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</si>
  <si>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</si>
  <si>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</si>
  <si>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</si>
  <si>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</si>
  <si>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</si>
  <si>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</si>
  <si>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</si>
  <si>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</si>
  <si>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</si>
  <si>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</si>
  <si>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</si>
  <si>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</si>
  <si>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</si>
  <si>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</si>
  <si>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</si>
  <si>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</si>
  <si>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</si>
  <si>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</si>
  <si>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</si>
  <si>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</si>
  <si>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</si>
  <si>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</si>
  <si>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</si>
  <si>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</si>
  <si>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</si>
  <si>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</si>
  <si>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</si>
  <si>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</si>
  <si>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</si>
  <si>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</si>
  <si>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</si>
  <si>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</si>
  <si>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</si>
  <si>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</si>
  <si>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</si>
  <si>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</si>
  <si>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</si>
  <si>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</si>
  <si>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</si>
  <si>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</si>
  <si>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</si>
  <si>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</si>
  <si>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</si>
  <si>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</si>
  <si>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</si>
  <si>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</si>
  <si>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</si>
  <si>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</si>
  <si>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</si>
  <si>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</si>
  <si>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</si>
  <si>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</si>
  <si>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</si>
  <si>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</si>
  <si>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</si>
  <si>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</si>
  <si>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</si>
  <si>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</si>
  <si>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</si>
  <si>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</si>
  <si>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</si>
  <si>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</si>
  <si>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</si>
  <si>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</si>
  <si>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</si>
  <si>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</si>
  <si>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</si>
  <si>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</si>
  <si>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 xml:space="preserve">УКУПНИ ЈАВНИ РАСХОДИ </t>
  </si>
  <si>
    <t>4512</t>
  </si>
  <si>
    <t>452</t>
  </si>
  <si>
    <t>Редни број</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</si>
  <si>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</si>
  <si>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</si>
  <si>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</si>
  <si>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</si>
  <si>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</si>
  <si>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</si>
  <si>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</si>
  <si>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</si>
  <si>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</si>
  <si>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</si>
  <si>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</si>
  <si>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</si>
  <si>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</si>
  <si>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</si>
  <si>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</si>
  <si>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</si>
  <si>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</si>
  <si>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</si>
  <si>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</si>
  <si>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</si>
  <si>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</si>
  <si>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</si>
  <si>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Извршни и законодавни органи, финансијски и фискални послови и спољни послови;</t>
  </si>
  <si>
    <t>111</t>
  </si>
  <si>
    <t>112</t>
  </si>
  <si>
    <t>113</t>
  </si>
  <si>
    <t>120</t>
  </si>
  <si>
    <t>Економска помоћ иностранству;</t>
  </si>
  <si>
    <t>121</t>
  </si>
  <si>
    <t>122</t>
  </si>
  <si>
    <t>130</t>
  </si>
  <si>
    <t>Опште услуге;</t>
  </si>
  <si>
    <t>131</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</si>
  <si>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</si>
  <si>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</si>
  <si>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</si>
  <si>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</si>
  <si>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</si>
  <si>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</si>
  <si>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</si>
  <si>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</si>
  <si>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</si>
  <si>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</si>
  <si>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</si>
  <si>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</si>
  <si>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</si>
  <si>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</si>
  <si>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</si>
  <si>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</si>
  <si>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330</t>
  </si>
  <si>
    <t>Судови;</t>
  </si>
  <si>
    <t>340</t>
  </si>
  <si>
    <t>Затвори;</t>
  </si>
  <si>
    <t>350</t>
  </si>
  <si>
    <t>Јавни ред и безбедност - истраживање и развој;</t>
  </si>
  <si>
    <t>360</t>
  </si>
  <si>
    <t>Јавни ред и безбедност некласификован на другом месту</t>
  </si>
  <si>
    <t>400</t>
  </si>
  <si>
    <t>Општи економски и комерцијални послови и послови по питању рада;</t>
  </si>
  <si>
    <t>411</t>
  </si>
  <si>
    <t>412</t>
  </si>
  <si>
    <t>Пољопривреда, шумарство, лов и риболов;</t>
  </si>
  <si>
    <t>422</t>
  </si>
  <si>
    <t>423</t>
  </si>
  <si>
    <t>Гориво и енергија;</t>
  </si>
  <si>
    <t>431</t>
  </si>
  <si>
    <t>432</t>
  </si>
  <si>
    <t>433</t>
  </si>
  <si>
    <t>434</t>
  </si>
  <si>
    <t>435</t>
  </si>
  <si>
    <t>436</t>
  </si>
  <si>
    <t>Рударство, производња и изградња;</t>
  </si>
  <si>
    <t>441</t>
  </si>
  <si>
    <t>442</t>
  </si>
  <si>
    <t>443</t>
  </si>
  <si>
    <t>Саобраћај;</t>
  </si>
  <si>
    <t>451</t>
  </si>
  <si>
    <t>453</t>
  </si>
  <si>
    <t>454</t>
  </si>
  <si>
    <t>455</t>
  </si>
  <si>
    <t>Комуникације;</t>
  </si>
  <si>
    <t>Остале делатности;</t>
  </si>
  <si>
    <t>471</t>
  </si>
  <si>
    <t>472</t>
  </si>
  <si>
    <t>473</t>
  </si>
  <si>
    <t>474</t>
  </si>
  <si>
    <t>Економски послови - истраживање и развој;</t>
  </si>
  <si>
    <t>481</t>
  </si>
  <si>
    <t>482</t>
  </si>
  <si>
    <t>483</t>
  </si>
  <si>
    <t>484</t>
  </si>
  <si>
    <t>485</t>
  </si>
  <si>
    <t>486</t>
  </si>
  <si>
    <t>487</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</si>
  <si>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</si>
  <si>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</si>
  <si>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</si>
  <si>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</si>
  <si>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</si>
  <si>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</si>
  <si>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</si>
  <si>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</si>
  <si>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</si>
  <si>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</si>
  <si>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</si>
  <si>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</si>
  <si>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</si>
  <si>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</si>
  <si>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</si>
  <si>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</si>
  <si>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</si>
  <si>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</si>
  <si>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</si>
  <si>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</si>
  <si>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</si>
  <si>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710</t>
  </si>
  <si>
    <t>Медицински производи, помагала и опрема;</t>
  </si>
  <si>
    <t>711</t>
  </si>
  <si>
    <t>712</t>
  </si>
  <si>
    <t>713</t>
  </si>
  <si>
    <t>720</t>
  </si>
  <si>
    <t>Ванболничке услуге;</t>
  </si>
  <si>
    <t>721</t>
  </si>
  <si>
    <t>722</t>
  </si>
  <si>
    <t>723</t>
  </si>
  <si>
    <t>724</t>
  </si>
  <si>
    <t>730</t>
  </si>
  <si>
    <t>Болничке услуге;</t>
  </si>
  <si>
    <t>731</t>
  </si>
  <si>
    <t>732</t>
  </si>
  <si>
    <t>733</t>
  </si>
  <si>
    <t>734</t>
  </si>
  <si>
    <t>Услуге домова за негу и опоравак</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</si>
  <si>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</si>
  <si>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</si>
  <si>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</si>
  <si>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</si>
  <si>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</si>
  <si>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</si>
  <si>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</si>
  <si>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</si>
  <si>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</si>
  <si>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</si>
  <si>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</si>
  <si>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</si>
  <si>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</si>
  <si>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</si>
  <si>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</si>
  <si>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850</t>
  </si>
  <si>
    <t>Рекреација, спорт, култура и вере - истраживање и развој;</t>
  </si>
  <si>
    <t>860</t>
  </si>
  <si>
    <t>900</t>
  </si>
  <si>
    <t>910</t>
  </si>
  <si>
    <t>Предшколско и основно образовање;</t>
  </si>
  <si>
    <t>911</t>
  </si>
  <si>
    <t>913</t>
  </si>
  <si>
    <t>914</t>
  </si>
  <si>
    <t>915</t>
  </si>
  <si>
    <t>916</t>
  </si>
  <si>
    <t>920</t>
  </si>
  <si>
    <t>Средње образовање;</t>
  </si>
  <si>
    <t>921</t>
  </si>
  <si>
    <t>922</t>
  </si>
  <si>
    <t>923</t>
  </si>
  <si>
    <t>930</t>
  </si>
  <si>
    <t>Више образовање;</t>
  </si>
  <si>
    <t>931</t>
  </si>
  <si>
    <t>932</t>
  </si>
  <si>
    <t>940</t>
  </si>
  <si>
    <t>Високо образовање;</t>
  </si>
  <si>
    <t>941</t>
  </si>
  <si>
    <t>942</t>
  </si>
  <si>
    <t>Високо образовање - други степен</t>
  </si>
  <si>
    <t>950</t>
  </si>
  <si>
    <t>Образовање које није дефинисано нивоом;</t>
  </si>
  <si>
    <t>960</t>
  </si>
  <si>
    <t>Помоћне услуге образовању;</t>
  </si>
  <si>
    <t>970</t>
  </si>
  <si>
    <t>Образовање - истраживање и развој;</t>
  </si>
  <si>
    <t>980</t>
  </si>
  <si>
    <t>УКУПНО</t>
  </si>
  <si>
    <t>Програм</t>
  </si>
  <si>
    <t>2</t>
  </si>
  <si>
    <t>Уређивање грађевинског земљишта</t>
  </si>
  <si>
    <t>Уређење и одржавање зеленила</t>
  </si>
  <si>
    <t>Одржавање гробаља и погребне услуге</t>
  </si>
  <si>
    <t>1501-0001</t>
  </si>
  <si>
    <t>Подршка постојећој привреди</t>
  </si>
  <si>
    <t>1501-0002</t>
  </si>
  <si>
    <t>1501-0003</t>
  </si>
  <si>
    <t>Подстицаји за развој предузетништва</t>
  </si>
  <si>
    <t>Управљање развојем туризма</t>
  </si>
  <si>
    <t>Туристичка промоција</t>
  </si>
  <si>
    <t>0401-0001</t>
  </si>
  <si>
    <t>Управљање заштитом животне средине и природних вредности</t>
  </si>
  <si>
    <t>0401-0002</t>
  </si>
  <si>
    <t>Управљање комуналним отпадом</t>
  </si>
  <si>
    <t>0401-0003</t>
  </si>
  <si>
    <t>Праћење квалитета елемената животне средине</t>
  </si>
  <si>
    <t>0401-0004</t>
  </si>
  <si>
    <t>Заштита природних вредности и унапређење подручја са природним својствима</t>
  </si>
  <si>
    <t xml:space="preserve">Функционисање предшколских установа </t>
  </si>
  <si>
    <t>Функционисање основних школа</t>
  </si>
  <si>
    <t>Функционисање средњих школа</t>
  </si>
  <si>
    <t>0101-0002</t>
  </si>
  <si>
    <t>1502-0001</t>
  </si>
  <si>
    <t>2002-0001</t>
  </si>
  <si>
    <t>0901-0001</t>
  </si>
  <si>
    <t>0901-0002</t>
  </si>
  <si>
    <t>Прихватилишта, прихватне станице и друге врсте смештаја</t>
  </si>
  <si>
    <t>0901-0003</t>
  </si>
  <si>
    <t>0901-0004</t>
  </si>
  <si>
    <t>Саветодавно-терапијске и социјално-едукативне услуге</t>
  </si>
  <si>
    <t>0901-0005</t>
  </si>
  <si>
    <t>Функционисање установа примарне здравствене заштите</t>
  </si>
  <si>
    <t xml:space="preserve">Функционисање локалних установа културе </t>
  </si>
  <si>
    <t>1201-0001</t>
  </si>
  <si>
    <t>1801-0001</t>
  </si>
  <si>
    <t>1301-0001</t>
  </si>
  <si>
    <t>Подршка локалним спортским организацијама, удружењима и савезима</t>
  </si>
  <si>
    <t>1301-0002</t>
  </si>
  <si>
    <t>1301-0003</t>
  </si>
  <si>
    <t>Одржавање спортске инфраструктуре</t>
  </si>
  <si>
    <t>0602-0001</t>
  </si>
  <si>
    <t>Функционисање локалне самоуправе и градских општина</t>
  </si>
  <si>
    <t>0602-0002</t>
  </si>
  <si>
    <t>0602-0003</t>
  </si>
  <si>
    <t>0602-0004</t>
  </si>
  <si>
    <t>Општинско јавно правобранилаштво</t>
  </si>
  <si>
    <t>0602-0005</t>
  </si>
  <si>
    <t>0602-0006</t>
  </si>
  <si>
    <t>Информисање</t>
  </si>
  <si>
    <t>0602-0007</t>
  </si>
  <si>
    <t>0602-0008</t>
  </si>
  <si>
    <t>Програми националних мањина</t>
  </si>
  <si>
    <t>0602-0009</t>
  </si>
  <si>
    <t>0602-0010</t>
  </si>
  <si>
    <t>Резерве</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</si>
  <si>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</si>
  <si>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</si>
  <si>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</si>
  <si>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</si>
  <si>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</si>
  <si>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</si>
  <si>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</si>
  <si>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</si>
  <si>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Укупна јавна средства</t>
  </si>
  <si>
    <t>Програм-ска Класиф.</t>
  </si>
  <si>
    <t>Економ. Класиф.</t>
  </si>
  <si>
    <t>Укупно</t>
  </si>
  <si>
    <t>УКУПНО ПРЕНЕТА СРЕДСТВА, ТЕКУЋИ ПРИХОДИ И ПРИМАЊА</t>
  </si>
  <si>
    <t>УКУПНА ЈАВНА СРЕДСТВА</t>
  </si>
  <si>
    <t>3</t>
  </si>
  <si>
    <t>Плате, додаци и накнаде запослених (зараде)</t>
  </si>
  <si>
    <t>Накнаде у натури</t>
  </si>
  <si>
    <t>Донације страним владама</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</si>
  <si>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</si>
  <si>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</si>
  <si>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</si>
  <si>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</si>
  <si>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</si>
  <si>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</si>
  <si>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</si>
  <si>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</si>
  <si>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Награде запосленима и остали посебни расходи</t>
  </si>
  <si>
    <t>Посланички додатак</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</si>
  <si>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</si>
  <si>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</si>
  <si>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</si>
  <si>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</si>
  <si>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</si>
  <si>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</si>
  <si>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</si>
  <si>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</si>
  <si>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</si>
  <si>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</si>
  <si>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</si>
  <si>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</si>
  <si>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</si>
  <si>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</si>
  <si>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</si>
  <si>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</si>
  <si>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</si>
  <si>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</si>
  <si>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</si>
  <si>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</si>
  <si>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</si>
  <si>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</si>
  <si>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ПРОГРАМ 15: ЛОКАЛНА САМОУПРАВА</t>
  </si>
  <si>
    <t>Извори финансирања за Програм 15:</t>
  </si>
  <si>
    <t>Свега за Програм 15:</t>
  </si>
  <si>
    <t>Извори финансирања за Раздео 1:</t>
  </si>
  <si>
    <t>Свега за Главу 1:</t>
  </si>
  <si>
    <t>Свега за Програмску активност 0602-0001:</t>
  </si>
  <si>
    <t>Извори финансирања за Програмску активност 0602-0001:</t>
  </si>
  <si>
    <t>Свега за Раздео 1:</t>
  </si>
  <si>
    <t>Извори финансирања за Раздео 2:</t>
  </si>
  <si>
    <t>Свега за Раздео 2:</t>
  </si>
  <si>
    <t>Уређивање, одржавање и коришћење пијацa</t>
  </si>
  <si>
    <t>Свега за Програмску активност 0602-0003:</t>
  </si>
  <si>
    <t>Извори финансирања за Програм 1:</t>
  </si>
  <si>
    <t>Свега за Програм 1:</t>
  </si>
  <si>
    <t>Извори финансирања за Програм 7:</t>
  </si>
  <si>
    <t>Свега за Програм 7:</t>
  </si>
  <si>
    <t>ПРОГРАМ 11: СОЦИЈАЛНА И ДЕЧЈА ЗАШТИТА</t>
  </si>
  <si>
    <t>Извори финансирања за Програм 11:</t>
  </si>
  <si>
    <t>Свега за Програм 11:</t>
  </si>
  <si>
    <t>Извори финансирања за Програмску активност 0901-0001:</t>
  </si>
  <si>
    <t>Извори финансирања за Програмску активност 0901-0003:</t>
  </si>
  <si>
    <t>Свега за Програмску активност 0901-0003:</t>
  </si>
  <si>
    <t>Извори финансирања за Програмску активност 0901-0005:</t>
  </si>
  <si>
    <t>Свега за Програмску активност 0901-0005:</t>
  </si>
  <si>
    <t>Функција 110:</t>
  </si>
  <si>
    <t>Социјална помоћ некласификована на другом месту</t>
  </si>
  <si>
    <t>Функција 130:</t>
  </si>
  <si>
    <t>1502-0002</t>
  </si>
  <si>
    <t>Извори финансирања за Програм 2:</t>
  </si>
  <si>
    <t>Свега за Програм 2:</t>
  </si>
  <si>
    <t>УСТАНОВЕ У КУЛТУРИ</t>
  </si>
  <si>
    <t>ПРОГРАМ 13 - РАЗВОЈ КУЛТУРЕ</t>
  </si>
  <si>
    <t>Функционисање локалних установа културе</t>
  </si>
  <si>
    <t>Извори финансирања за Програм 13:</t>
  </si>
  <si>
    <t>Свега за Програм 13:</t>
  </si>
  <si>
    <t>ПРОГРАМ 8 - ПРЕДШКОЛСКО ОБРАЗОВАЊЕ</t>
  </si>
  <si>
    <t>2001-0001</t>
  </si>
  <si>
    <t>2003-0001</t>
  </si>
  <si>
    <t>Извори финансирања за функцију 110:</t>
  </si>
  <si>
    <t>Извори финансирања за функцију 620:</t>
  </si>
  <si>
    <t>Функција 620:</t>
  </si>
  <si>
    <t>Извори финансирања за функцију 090:</t>
  </si>
  <si>
    <t>Функција 090:</t>
  </si>
  <si>
    <t>Извори финансирања за функцију 130:</t>
  </si>
  <si>
    <t>Извори финансирања за Програмску активност 0602-0003:</t>
  </si>
  <si>
    <t>Извори финансирања за функцију 820:</t>
  </si>
  <si>
    <t>Функција 820:</t>
  </si>
  <si>
    <t>Извори финансирања за програмску активност 1201-0001:</t>
  </si>
  <si>
    <t>Свега за програмску активност 1201-0001:</t>
  </si>
  <si>
    <t>Извори финансирања за функцију 911:</t>
  </si>
  <si>
    <t>Функција 911:</t>
  </si>
  <si>
    <t>Извори финансирања за функцију 912:</t>
  </si>
  <si>
    <t>Функција 912:</t>
  </si>
  <si>
    <t>Извори финансирања за Програм 9:</t>
  </si>
  <si>
    <t>Свега за Програм 9:</t>
  </si>
  <si>
    <t>Извори финансирања за функцију 920:</t>
  </si>
  <si>
    <t>Функција 920:</t>
  </si>
  <si>
    <t>Извори финансирања за програмску активност 2003-0001:</t>
  </si>
  <si>
    <t>Свега за програмску активност 2003-0001:</t>
  </si>
  <si>
    <t>Извори финансирања за програмску активност 2002-0001:</t>
  </si>
  <si>
    <t>Свега за програмску активност 2002-0001:</t>
  </si>
  <si>
    <t>Извори финансирања за програмску активност 2001-0001:</t>
  </si>
  <si>
    <t>Свега за програмску активност 2001-0001:</t>
  </si>
  <si>
    <t>Извори финансирања за Програм 10:</t>
  </si>
  <si>
    <t>Свега за Програм 10:</t>
  </si>
  <si>
    <t>ТЕКУЋИ РАСХОДИ</t>
  </si>
  <si>
    <t>КАПИТАЛНИ ИЗДАЦИ</t>
  </si>
  <si>
    <t>Изворни приходи</t>
  </si>
  <si>
    <t>Уступљени приходи</t>
  </si>
  <si>
    <t>Легенда</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</si>
  <si>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</si>
  <si>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</si>
  <si>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</si>
  <si>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</si>
  <si>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</si>
  <si>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</si>
  <si>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</si>
  <si>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</si>
  <si>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</si>
  <si>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</si>
  <si>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</si>
  <si>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</si>
  <si>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</si>
  <si>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</si>
  <si>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</si>
  <si>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</si>
  <si>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</si>
  <si>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</si>
  <si>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</si>
  <si>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</si>
  <si>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</si>
  <si>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</si>
  <si>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</si>
  <si>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</si>
  <si>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</si>
  <si>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</si>
  <si>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1101-П24</t>
  </si>
  <si>
    <t>0601-П4</t>
  </si>
  <si>
    <t>0601-П5</t>
  </si>
  <si>
    <t>0601-П6</t>
  </si>
  <si>
    <t>0601-П7</t>
  </si>
  <si>
    <t>0601-П8</t>
  </si>
  <si>
    <t>0601-П9</t>
  </si>
  <si>
    <t>0601-П10</t>
  </si>
  <si>
    <t>0601-П11</t>
  </si>
  <si>
    <t>0601-П12</t>
  </si>
  <si>
    <t>0601-П13</t>
  </si>
  <si>
    <t>0601-П14</t>
  </si>
  <si>
    <t>0601-П15</t>
  </si>
  <si>
    <t>0601-П16</t>
  </si>
  <si>
    <t>0601-П17</t>
  </si>
  <si>
    <t>0601-П18</t>
  </si>
  <si>
    <t>0601-П19</t>
  </si>
  <si>
    <t>0601-П20</t>
  </si>
  <si>
    <t>0601-П21</t>
  </si>
  <si>
    <t>0601-П22</t>
  </si>
  <si>
    <t>0601-П23</t>
  </si>
  <si>
    <t>0601-П24</t>
  </si>
  <si>
    <t>0601-П25</t>
  </si>
  <si>
    <t>0601-П26</t>
  </si>
  <si>
    <t>0601-П27</t>
  </si>
  <si>
    <t>0601-П28</t>
  </si>
  <si>
    <t>0601-П29</t>
  </si>
  <si>
    <t>0601-П30</t>
  </si>
  <si>
    <t>0601-П31</t>
  </si>
  <si>
    <t>0601-П32</t>
  </si>
  <si>
    <t>0601-П33</t>
  </si>
  <si>
    <t>0601-П34</t>
  </si>
  <si>
    <t>0601-П35</t>
  </si>
  <si>
    <t>0601-П36</t>
  </si>
  <si>
    <t>0601-П37</t>
  </si>
  <si>
    <t>0601-П38</t>
  </si>
  <si>
    <t>0601-П39</t>
  </si>
  <si>
    <t>0601-П40</t>
  </si>
  <si>
    <t>0601-П41</t>
  </si>
  <si>
    <t>0601-П42</t>
  </si>
  <si>
    <t>0601-П43</t>
  </si>
  <si>
    <t>0601-П44</t>
  </si>
  <si>
    <t>0601-П45</t>
  </si>
  <si>
    <t>0601-П46</t>
  </si>
  <si>
    <t>0601-П47</t>
  </si>
  <si>
    <t>0601-П48</t>
  </si>
  <si>
    <t>0601-П49</t>
  </si>
  <si>
    <t>0601-П50</t>
  </si>
  <si>
    <t>1501-П1</t>
  </si>
  <si>
    <t>1501-П2</t>
  </si>
  <si>
    <t>1501-П3</t>
  </si>
  <si>
    <t>1501-П4</t>
  </si>
  <si>
    <t>1501-П5</t>
  </si>
  <si>
    <t>1501-П6</t>
  </si>
  <si>
    <t>1501-П7</t>
  </si>
  <si>
    <t>1501-П8</t>
  </si>
  <si>
    <t>1501-П9</t>
  </si>
  <si>
    <t>1501-П10</t>
  </si>
  <si>
    <t>1501-П11</t>
  </si>
  <si>
    <t>1501-П12</t>
  </si>
  <si>
    <t>1501-П13</t>
  </si>
  <si>
    <t>1501-П14</t>
  </si>
  <si>
    <t>1501-П15</t>
  </si>
  <si>
    <t>1501-П16</t>
  </si>
  <si>
    <t>1501-П17</t>
  </si>
  <si>
    <t>1501-П18</t>
  </si>
  <si>
    <t>1501-П19</t>
  </si>
  <si>
    <t>1501-П20</t>
  </si>
  <si>
    <t>1501-П21</t>
  </si>
  <si>
    <t>1501-П22</t>
  </si>
  <si>
    <t>1501-П23</t>
  </si>
  <si>
    <t>1501-П24</t>
  </si>
  <si>
    <t>1502-П1</t>
  </si>
  <si>
    <t>1502-П2</t>
  </si>
  <si>
    <t>1502-П3</t>
  </si>
  <si>
    <t>1502-П4</t>
  </si>
  <si>
    <t>1502-П5</t>
  </si>
  <si>
    <t>1502-П6</t>
  </si>
  <si>
    <t>1502-П7</t>
  </si>
  <si>
    <t>1502-П8</t>
  </si>
  <si>
    <t>1502-П9</t>
  </si>
  <si>
    <t>1502-П10</t>
  </si>
  <si>
    <t>1502-П11</t>
  </si>
  <si>
    <t>1502-П12</t>
  </si>
  <si>
    <t>1502-П13</t>
  </si>
  <si>
    <t>1502-П14</t>
  </si>
  <si>
    <t>1502-П15</t>
  </si>
  <si>
    <t>1502-П16</t>
  </si>
  <si>
    <t>1502-П17</t>
  </si>
  <si>
    <t>1502-П18</t>
  </si>
  <si>
    <t>1502-П19</t>
  </si>
  <si>
    <t>1502-П20</t>
  </si>
  <si>
    <t>1502-П21</t>
  </si>
  <si>
    <t>1502-П22</t>
  </si>
  <si>
    <t>1502-П23</t>
  </si>
  <si>
    <t>1502-П24</t>
  </si>
  <si>
    <t>0101-П2</t>
  </si>
  <si>
    <t>0101-П3</t>
  </si>
  <si>
    <t>0101-П4</t>
  </si>
  <si>
    <t>0101-П5</t>
  </si>
  <si>
    <t>0101-П6</t>
  </si>
  <si>
    <t>0101-П7</t>
  </si>
  <si>
    <t>0101-П8</t>
  </si>
  <si>
    <t>0101-П9</t>
  </si>
  <si>
    <t>0101-П10</t>
  </si>
  <si>
    <t>0101-П11</t>
  </si>
  <si>
    <t>0101-П12</t>
  </si>
  <si>
    <t>0101-П13</t>
  </si>
  <si>
    <t>0101-П14</t>
  </si>
  <si>
    <t>0101-П15</t>
  </si>
  <si>
    <t>0101-П16</t>
  </si>
  <si>
    <t>0401-П1</t>
  </si>
  <si>
    <t>0401-П2</t>
  </si>
  <si>
    <t>0401-П3</t>
  </si>
  <si>
    <t>0401-П4</t>
  </si>
  <si>
    <t>0401-П5</t>
  </si>
  <si>
    <t>0401-П6</t>
  </si>
  <si>
    <t>0401-П7</t>
  </si>
  <si>
    <t>0401-П8</t>
  </si>
  <si>
    <t>0401-П9</t>
  </si>
  <si>
    <t>0401-П10</t>
  </si>
  <si>
    <t>0401-П11</t>
  </si>
  <si>
    <t>0401-П12</t>
  </si>
  <si>
    <t>0401-П13</t>
  </si>
  <si>
    <t>0401-П14</t>
  </si>
  <si>
    <t>0401-П15</t>
  </si>
  <si>
    <t>0701-П1</t>
  </si>
  <si>
    <t>0701-П2</t>
  </si>
  <si>
    <t>0701-П3</t>
  </si>
  <si>
    <t>0701-П4</t>
  </si>
  <si>
    <t>0701-П5</t>
  </si>
  <si>
    <t>0701-П6</t>
  </si>
  <si>
    <t>0701-П7</t>
  </si>
  <si>
    <t>0701-П8</t>
  </si>
  <si>
    <t>0701-П9</t>
  </si>
  <si>
    <t>0701-П10</t>
  </si>
  <si>
    <t>0701-П11</t>
  </si>
  <si>
    <t>0701-П12</t>
  </si>
  <si>
    <t>0701-П13</t>
  </si>
  <si>
    <t>0701-П14</t>
  </si>
  <si>
    <t>0701-П15</t>
  </si>
  <si>
    <t>0701-П16</t>
  </si>
  <si>
    <t>0701-П17</t>
  </si>
  <si>
    <t>0701-П18</t>
  </si>
  <si>
    <t>0701-П19</t>
  </si>
  <si>
    <t>0701-П20</t>
  </si>
  <si>
    <t>0701-П21</t>
  </si>
  <si>
    <t>0701-П22</t>
  </si>
  <si>
    <t>0701-П23</t>
  </si>
  <si>
    <t>0701-П24</t>
  </si>
  <si>
    <t>0701-П25</t>
  </si>
  <si>
    <t>0701-П26</t>
  </si>
  <si>
    <t>0701-П27</t>
  </si>
  <si>
    <t>0701-П28</t>
  </si>
  <si>
    <t>0701-П29</t>
  </si>
  <si>
    <t>0701-П30</t>
  </si>
  <si>
    <t>0701-П31</t>
  </si>
  <si>
    <t>0701-П32</t>
  </si>
  <si>
    <t>0701-П33</t>
  </si>
  <si>
    <t>0701-П34</t>
  </si>
  <si>
    <t>0701-П35</t>
  </si>
  <si>
    <t>0701-П36</t>
  </si>
  <si>
    <t>0701-П37</t>
  </si>
  <si>
    <t>0701-П38</t>
  </si>
  <si>
    <t>0701-П39</t>
  </si>
  <si>
    <t>0701-П40</t>
  </si>
  <si>
    <t>0701-П41</t>
  </si>
  <si>
    <t>0701-П42</t>
  </si>
  <si>
    <t>0701-П43</t>
  </si>
  <si>
    <t>0701-П44</t>
  </si>
  <si>
    <t>0701-П45</t>
  </si>
  <si>
    <t>0701-П46</t>
  </si>
  <si>
    <t>0701-П47</t>
  </si>
  <si>
    <t>0701-П48</t>
  </si>
  <si>
    <t>0701-П49</t>
  </si>
  <si>
    <t>0701-П50</t>
  </si>
  <si>
    <t>2001-П1</t>
  </si>
  <si>
    <t>2001-П2</t>
  </si>
  <si>
    <t>2001-П3</t>
  </si>
  <si>
    <t>2001-П4</t>
  </si>
  <si>
    <t>2001-П5</t>
  </si>
  <si>
    <t>2001-П6</t>
  </si>
  <si>
    <t>2001-П7</t>
  </si>
  <si>
    <t>2001-П8</t>
  </si>
  <si>
    <t>2001-П9</t>
  </si>
  <si>
    <t>2001-П10</t>
  </si>
  <si>
    <t>2001-П11</t>
  </si>
  <si>
    <t>2001-П12</t>
  </si>
  <si>
    <t>2001-П13</t>
  </si>
  <si>
    <t>2001-П14</t>
  </si>
  <si>
    <t>2001-П15</t>
  </si>
  <si>
    <t>2001-П16</t>
  </si>
  <si>
    <t>2001-П17</t>
  </si>
  <si>
    <t>2001-П18</t>
  </si>
  <si>
    <t>2001-П19</t>
  </si>
  <si>
    <t>2001-П20</t>
  </si>
  <si>
    <t>2001-П21</t>
  </si>
  <si>
    <t>2001-П22</t>
  </si>
  <si>
    <t>2001-П23</t>
  </si>
  <si>
    <t>2001-П24</t>
  </si>
  <si>
    <t>2001-П25</t>
  </si>
  <si>
    <t>2001-П26</t>
  </si>
  <si>
    <t>2001-П27</t>
  </si>
  <si>
    <t>2001-П28</t>
  </si>
  <si>
    <t>2001-П29</t>
  </si>
  <si>
    <t>2002-П1</t>
  </si>
  <si>
    <t>2002-П2</t>
  </si>
  <si>
    <t>2002-П3</t>
  </si>
  <si>
    <t>2002-П4</t>
  </si>
  <si>
    <t>2002-П5</t>
  </si>
  <si>
    <t>2002-П6</t>
  </si>
  <si>
    <t>2002-П7</t>
  </si>
  <si>
    <t>2002-П8</t>
  </si>
  <si>
    <t>2002-П9</t>
  </si>
  <si>
    <t>2002-П10</t>
  </si>
  <si>
    <t>2002-П11</t>
  </si>
  <si>
    <t>2002-П12</t>
  </si>
  <si>
    <t>2002-П13</t>
  </si>
  <si>
    <t>2002-П14</t>
  </si>
  <si>
    <t>2002-П15</t>
  </si>
  <si>
    <t>2002-П16</t>
  </si>
  <si>
    <t>2002-П17</t>
  </si>
  <si>
    <t>2002-П18</t>
  </si>
  <si>
    <t>2002-П19</t>
  </si>
  <si>
    <t>2002-П20</t>
  </si>
  <si>
    <t>2002-П21</t>
  </si>
  <si>
    <t>2002-П22</t>
  </si>
  <si>
    <t>2002-П23</t>
  </si>
  <si>
    <t>2002-П24</t>
  </si>
  <si>
    <t>2002-П25</t>
  </si>
  <si>
    <t>2002-П26</t>
  </si>
  <si>
    <t>2002-П27</t>
  </si>
  <si>
    <t>2002-П28</t>
  </si>
  <si>
    <t>2002-П29</t>
  </si>
  <si>
    <t>2002-П30</t>
  </si>
  <si>
    <t>2003-П1</t>
  </si>
  <si>
    <t>2003-П2</t>
  </si>
  <si>
    <t>2003-П3</t>
  </si>
  <si>
    <t>2003-П4</t>
  </si>
  <si>
    <t>2003-П5</t>
  </si>
  <si>
    <t>2003-П6</t>
  </si>
  <si>
    <t>2003-П7</t>
  </si>
  <si>
    <t>2003-П8</t>
  </si>
  <si>
    <t>2003-П9</t>
  </si>
  <si>
    <t>2003-П10</t>
  </si>
  <si>
    <t>2003-П11</t>
  </si>
  <si>
    <t>2003-П12</t>
  </si>
  <si>
    <t>2003-П13</t>
  </si>
  <si>
    <t>2003-П14</t>
  </si>
  <si>
    <t>2003-П15</t>
  </si>
  <si>
    <t>2003-П16</t>
  </si>
  <si>
    <t>2003-П17</t>
  </si>
  <si>
    <t>2003-П18</t>
  </si>
  <si>
    <t>2003-П19</t>
  </si>
  <si>
    <t>2003-П20</t>
  </si>
  <si>
    <t>2003-П21</t>
  </si>
  <si>
    <t>2003-П22</t>
  </si>
  <si>
    <t>2003-П23</t>
  </si>
  <si>
    <t>2003-П24</t>
  </si>
  <si>
    <t>2003-П25</t>
  </si>
  <si>
    <t>2003-П26</t>
  </si>
  <si>
    <t>2003-П27</t>
  </si>
  <si>
    <t>2003-П28</t>
  </si>
  <si>
    <t>2003-П29</t>
  </si>
  <si>
    <t>2003-П30</t>
  </si>
  <si>
    <t>2001-П30</t>
  </si>
  <si>
    <t>0901-П4</t>
  </si>
  <si>
    <t>0901-П5</t>
  </si>
  <si>
    <t>0901-П6</t>
  </si>
  <si>
    <t>0901-П7</t>
  </si>
  <si>
    <t>0901-П8</t>
  </si>
  <si>
    <t>0901-П9</t>
  </si>
  <si>
    <t>0901-П10</t>
  </si>
  <si>
    <t>0901-П11</t>
  </si>
  <si>
    <t>0901-П12</t>
  </si>
  <si>
    <t>0901-П13</t>
  </si>
  <si>
    <t>0901-П14</t>
  </si>
  <si>
    <t>0901-П15</t>
  </si>
  <si>
    <t>0901-П16</t>
  </si>
  <si>
    <t>0901-П17</t>
  </si>
  <si>
    <t>0901-П18</t>
  </si>
  <si>
    <t>0901-П19</t>
  </si>
  <si>
    <t>0901-П20</t>
  </si>
  <si>
    <t>0901-П21</t>
  </si>
  <si>
    <t>0901-П22</t>
  </si>
  <si>
    <t>0901-П23</t>
  </si>
  <si>
    <t>0901-П24</t>
  </si>
  <si>
    <t>0901-П25</t>
  </si>
  <si>
    <t>0901-П26</t>
  </si>
  <si>
    <t>0901-П27</t>
  </si>
  <si>
    <t>0901-П28</t>
  </si>
  <si>
    <t>0901-П29</t>
  </si>
  <si>
    <t>0901-П30</t>
  </si>
  <si>
    <t>1801-П1</t>
  </si>
  <si>
    <t>1801-П2</t>
  </si>
  <si>
    <t>1801-П3</t>
  </si>
  <si>
    <t>1801-П4</t>
  </si>
  <si>
    <t>1801-П5</t>
  </si>
  <si>
    <t>1801-П6</t>
  </si>
  <si>
    <t>1801-П7</t>
  </si>
  <si>
    <t>1801-П8</t>
  </si>
  <si>
    <t>1801-П9</t>
  </si>
  <si>
    <t>1801-П10</t>
  </si>
  <si>
    <t>1801-П11</t>
  </si>
  <si>
    <t>1801-П12</t>
  </si>
  <si>
    <t>1801-П13</t>
  </si>
  <si>
    <t>1801-П14</t>
  </si>
  <si>
    <t>1801-П15</t>
  </si>
  <si>
    <t>1801-П16</t>
  </si>
  <si>
    <t>1801-П17</t>
  </si>
  <si>
    <t>1801-П18</t>
  </si>
  <si>
    <t>1801-П19</t>
  </si>
  <si>
    <t>1801-П20</t>
  </si>
  <si>
    <t>1801-П21</t>
  </si>
  <si>
    <t>1801-П22</t>
  </si>
  <si>
    <t>1801-П23</t>
  </si>
  <si>
    <t>1801-П24</t>
  </si>
  <si>
    <t>1801-П25</t>
  </si>
  <si>
    <t>1801-П26</t>
  </si>
  <si>
    <t>1801-П27</t>
  </si>
  <si>
    <t>1801-П28</t>
  </si>
  <si>
    <t>1801-П29</t>
  </si>
  <si>
    <t>1801-П30</t>
  </si>
  <si>
    <t>1201-П1</t>
  </si>
  <si>
    <t>1201-П2</t>
  </si>
  <si>
    <t>1201-П3</t>
  </si>
  <si>
    <t>1201-П4</t>
  </si>
  <si>
    <t>1201-П5</t>
  </si>
  <si>
    <t>1201-П6</t>
  </si>
  <si>
    <t>1201-П7</t>
  </si>
  <si>
    <t>1201-П8</t>
  </si>
  <si>
    <t>1201-П9</t>
  </si>
  <si>
    <t>1201-П10</t>
  </si>
  <si>
    <t>1201-П11</t>
  </si>
  <si>
    <t>1201-П12</t>
  </si>
  <si>
    <t>1201-П13</t>
  </si>
  <si>
    <t>1201-П14</t>
  </si>
  <si>
    <t>1201-П15</t>
  </si>
  <si>
    <t>1201-П16</t>
  </si>
  <si>
    <t>1201-П17</t>
  </si>
  <si>
    <t>1201-П18</t>
  </si>
  <si>
    <t>1201-П19</t>
  </si>
  <si>
    <t>1201-П20</t>
  </si>
  <si>
    <t>1201-П21</t>
  </si>
  <si>
    <t>1201-П22</t>
  </si>
  <si>
    <t>1201-П23</t>
  </si>
  <si>
    <t>1201-П24</t>
  </si>
  <si>
    <t>1201-П25</t>
  </si>
  <si>
    <t>1201-П26</t>
  </si>
  <si>
    <t>1201-П27</t>
  </si>
  <si>
    <t>1201-П28</t>
  </si>
  <si>
    <t>1201-П29</t>
  </si>
  <si>
    <t>1201-П30</t>
  </si>
  <si>
    <t>1201-П31</t>
  </si>
  <si>
    <t>1201-П32</t>
  </si>
  <si>
    <t>1201-П33</t>
  </si>
  <si>
    <t>1201-П34</t>
  </si>
  <si>
    <t>1201-П35</t>
  </si>
  <si>
    <t>1201-П36</t>
  </si>
  <si>
    <t>1201-П37</t>
  </si>
  <si>
    <t>1201-П38</t>
  </si>
  <si>
    <t>1201-П39</t>
  </si>
  <si>
    <t>1201-П40</t>
  </si>
  <si>
    <t>1201-П41</t>
  </si>
  <si>
    <t>1201-П42</t>
  </si>
  <si>
    <t>1201-П43</t>
  </si>
  <si>
    <t>1201-П44</t>
  </si>
  <si>
    <t>1201-П45</t>
  </si>
  <si>
    <t>1201-П46</t>
  </si>
  <si>
    <t>1201-П47</t>
  </si>
  <si>
    <t>1201-П48</t>
  </si>
  <si>
    <t>1201-П49</t>
  </si>
  <si>
    <t>1201-П50</t>
  </si>
  <si>
    <t>1301-П1</t>
  </si>
  <si>
    <t>1301-П2</t>
  </si>
  <si>
    <t>1301-П3</t>
  </si>
  <si>
    <t>1301-П4</t>
  </si>
  <si>
    <t>1301-П5</t>
  </si>
  <si>
    <t>1301-П6</t>
  </si>
  <si>
    <t>1301-П7</t>
  </si>
  <si>
    <t>1301-П8</t>
  </si>
  <si>
    <t>1301-П9</t>
  </si>
  <si>
    <t>1301-П10</t>
  </si>
  <si>
    <t>1301-П11</t>
  </si>
  <si>
    <t>1301-П12</t>
  </si>
  <si>
    <t>1301-П13</t>
  </si>
  <si>
    <t>1301-П14</t>
  </si>
  <si>
    <t>1301-П15</t>
  </si>
  <si>
    <t>1301-П16</t>
  </si>
  <si>
    <t>1301-П17</t>
  </si>
  <si>
    <t>1301-П18</t>
  </si>
  <si>
    <t>1301-П19</t>
  </si>
  <si>
    <t>1301-П20</t>
  </si>
  <si>
    <t>1301-П21</t>
  </si>
  <si>
    <t>1301-П22</t>
  </si>
  <si>
    <t>1301-П23</t>
  </si>
  <si>
    <t>1301-П24</t>
  </si>
  <si>
    <t>1301-П25</t>
  </si>
  <si>
    <t>1301-П26</t>
  </si>
  <si>
    <t>1301-П27</t>
  </si>
  <si>
    <t>1301-П28</t>
  </si>
  <si>
    <t>1301-П29</t>
  </si>
  <si>
    <t>1301-П30</t>
  </si>
  <si>
    <t>1301-П31</t>
  </si>
  <si>
    <t>1301-П32</t>
  </si>
  <si>
    <t>1301-П33</t>
  </si>
  <si>
    <t>1301-П34</t>
  </si>
  <si>
    <t>1301-П35</t>
  </si>
  <si>
    <t>1301-П36</t>
  </si>
  <si>
    <t>1301-П37</t>
  </si>
  <si>
    <t>1301-П38</t>
  </si>
  <si>
    <t>1301-П39</t>
  </si>
  <si>
    <t>1301-П40</t>
  </si>
  <si>
    <t>1301-П41</t>
  </si>
  <si>
    <t>1301-П42</t>
  </si>
  <si>
    <t>1301-П43</t>
  </si>
  <si>
    <t>1301-П44</t>
  </si>
  <si>
    <t>1301-П45</t>
  </si>
  <si>
    <t>1301-П46</t>
  </si>
  <si>
    <t>1301-П47</t>
  </si>
  <si>
    <t>1301-П48</t>
  </si>
  <si>
    <t>1301-П49</t>
  </si>
  <si>
    <t>1301-П50</t>
  </si>
  <si>
    <t>0602-П1</t>
  </si>
  <si>
    <t>0602-П4</t>
  </si>
  <si>
    <t>0602-П5</t>
  </si>
  <si>
    <t>0602-П6</t>
  </si>
  <si>
    <t>0602-П7</t>
  </si>
  <si>
    <t>0602-П8</t>
  </si>
  <si>
    <t>0602-П9</t>
  </si>
  <si>
    <t>0602-П10</t>
  </si>
  <si>
    <t>0602-П11</t>
  </si>
  <si>
    <t>0602-П12</t>
  </si>
  <si>
    <t>0602-П13</t>
  </si>
  <si>
    <t>0602-П14</t>
  </si>
  <si>
    <t>0602-П15</t>
  </si>
  <si>
    <t>0602-П16</t>
  </si>
  <si>
    <t>0602-П17</t>
  </si>
  <si>
    <t>0602-П18</t>
  </si>
  <si>
    <t>0602-П19</t>
  </si>
  <si>
    <t>0602-П20</t>
  </si>
  <si>
    <t>0602-П21</t>
  </si>
  <si>
    <t>0602-П22</t>
  </si>
  <si>
    <t>0602-П23</t>
  </si>
  <si>
    <t>0602-П24</t>
  </si>
  <si>
    <t>0602-П25</t>
  </si>
  <si>
    <t>0602-П26</t>
  </si>
  <si>
    <t>0602-П27</t>
  </si>
  <si>
    <t>0602-П28</t>
  </si>
  <si>
    <t>0602-П29</t>
  </si>
  <si>
    <t>0602-П30</t>
  </si>
  <si>
    <t>0602-П31</t>
  </si>
  <si>
    <t>0602-П32</t>
  </si>
  <si>
    <t>0602-П33</t>
  </si>
  <si>
    <t>0602-П34</t>
  </si>
  <si>
    <t>0602-П35</t>
  </si>
  <si>
    <t>0602-П36</t>
  </si>
  <si>
    <t>0602-П37</t>
  </si>
  <si>
    <t>0602-П38</t>
  </si>
  <si>
    <t>0602-П39</t>
  </si>
  <si>
    <t>0602-П40</t>
  </si>
  <si>
    <t>0602-П41</t>
  </si>
  <si>
    <t>0602-П42</t>
  </si>
  <si>
    <t>0602-П43</t>
  </si>
  <si>
    <t>0602-П44</t>
  </si>
  <si>
    <t>0602-П45</t>
  </si>
  <si>
    <t>0602-П46</t>
  </si>
  <si>
    <t>0602-П47</t>
  </si>
  <si>
    <t>0602-П48</t>
  </si>
  <si>
    <t>0602-П49</t>
  </si>
  <si>
    <t>0602-П50</t>
  </si>
  <si>
    <t>0602-П51</t>
  </si>
  <si>
    <t>0602-П52</t>
  </si>
  <si>
    <t>0602-П53</t>
  </si>
  <si>
    <t>0602-П54</t>
  </si>
  <si>
    <t>0602-П55</t>
  </si>
  <si>
    <t>0602-П56</t>
  </si>
  <si>
    <t>0602-П57</t>
  </si>
  <si>
    <t>0602-П58</t>
  </si>
  <si>
    <t>0602-П59</t>
  </si>
  <si>
    <t>0602-П60</t>
  </si>
  <si>
    <t>0602-П61</t>
  </si>
  <si>
    <t>0602-П62</t>
  </si>
  <si>
    <t>0602-П63</t>
  </si>
  <si>
    <t>0602-П64</t>
  </si>
  <si>
    <t>0602-П65</t>
  </si>
  <si>
    <t>0602-П66</t>
  </si>
  <si>
    <t>0602-П67</t>
  </si>
  <si>
    <t>0602-П68</t>
  </si>
  <si>
    <t>0602-П69</t>
  </si>
  <si>
    <t>0602-П70</t>
  </si>
  <si>
    <t>Свега за пројекат 1201-П1:</t>
  </si>
  <si>
    <t>Извори финансирања за пројекат 1201-П1:</t>
  </si>
  <si>
    <t>Извори финансирања за програмску активност 0701-0002:</t>
  </si>
  <si>
    <t>Свега за програмску активност 0701-0002:</t>
  </si>
  <si>
    <t>Неутрошена средства из претходних година</t>
  </si>
  <si>
    <t>(91+92+3) - (61+6211)</t>
  </si>
  <si>
    <t>B.</t>
  </si>
  <si>
    <t>Трансфери од осталих нивоа власти</t>
  </si>
  <si>
    <t>Добровољни трансфери од физичких и правних лица</t>
  </si>
  <si>
    <t>Трансфери од других нивоа власти</t>
  </si>
  <si>
    <t>Разлика у односу на расходе и издатке</t>
  </si>
  <si>
    <t>Издаци за набавку финансијске имовине (осим за набавку домаћих хартија од вредности 6211)</t>
  </si>
  <si>
    <t>(7+8) - (4+5) - 62</t>
  </si>
  <si>
    <t>6211</t>
  </si>
  <si>
    <r>
      <t>Примања од продаје финансијске имовине (конта 92</t>
    </r>
    <r>
      <rPr>
        <sz val="12"/>
        <rFont val="Times New Roman"/>
        <family val="1"/>
      </rPr>
      <t>11</t>
    </r>
    <r>
      <rPr>
        <sz val="12"/>
        <rFont val="Times New Roman"/>
        <family val="1"/>
        <charset val="238"/>
      </rPr>
      <t>, 9221, 9219, 9227, 9228)</t>
    </r>
  </si>
  <si>
    <t>Издаци за набавку финансијске имовине (за набавку домаћих хартија од вредности 6211)</t>
  </si>
  <si>
    <t>Извршено Средстава из буџета</t>
  </si>
  <si>
    <t>Проценат извршења</t>
  </si>
  <si>
    <t>Извршено из осталих извора</t>
  </si>
  <si>
    <t>Извршено укупних јавних средстава</t>
  </si>
  <si>
    <t>Преостало за извршење</t>
  </si>
  <si>
    <t>Преостало укупних јавних средстава</t>
  </si>
  <si>
    <t>Остале дотације и трансфери</t>
  </si>
  <si>
    <t>Дан општине Владимирци</t>
  </si>
  <si>
    <t>Прослава општинске славе Петровдан</t>
  </si>
  <si>
    <t>Општинска изборна комисија</t>
  </si>
  <si>
    <t>ПРЕДСЕДНИК ОПШТИНЕ И ОПШТИНСКО ВЕЋЕ</t>
  </si>
  <si>
    <t>СКУПШТИНА</t>
  </si>
  <si>
    <t>Извори финансирања за Главу 2.01:</t>
  </si>
  <si>
    <t>Извори финансирања за Главу 1.01:</t>
  </si>
  <si>
    <t>Свега за програмску активност 0602-0010:</t>
  </si>
  <si>
    <t>Извори финансирања за програмску активност 0602-0010:</t>
  </si>
  <si>
    <t>Свега за Главу 1.01:</t>
  </si>
  <si>
    <t>ОПШТИНСКА УПРАВА</t>
  </si>
  <si>
    <t>3.01.</t>
  </si>
  <si>
    <t>ПРОГРАМ 2: КОМУНАЛНА ДЕЛАТНОСТ</t>
  </si>
  <si>
    <t>Изградња потисног цевовода и резервоара за воду</t>
  </si>
  <si>
    <t>Свега за Програмску активност 1101-0001:</t>
  </si>
  <si>
    <t>Извори финансирања за Програмску активност 1101-0001:</t>
  </si>
  <si>
    <t>Извори финансирања за Главу 3.01:</t>
  </si>
  <si>
    <t>Свега за Главу 3.01:</t>
  </si>
  <si>
    <t>Извори финансирања за функцију 420:</t>
  </si>
  <si>
    <t>Функција 420:</t>
  </si>
  <si>
    <t>Субвенције јавним нефинансијским предузећима и организацијама</t>
  </si>
  <si>
    <t>Извори финансирања за програмску активност 0101-0002:</t>
  </si>
  <si>
    <t>Свега за програмску активност 0101-0002:</t>
  </si>
  <si>
    <t>Извори финансирања за Програм 5:</t>
  </si>
  <si>
    <t>Свега за Програм 5:</t>
  </si>
  <si>
    <t>ПРЕДШКОЛСКА УСТАНОВА  "СУНЦОКРЕТИ" ВЛАДИМИРЦИ</t>
  </si>
  <si>
    <t>Извори финансирања за Програм 8:</t>
  </si>
  <si>
    <t>Свега за Програм 8:</t>
  </si>
  <si>
    <t>Трансфери осталим нивоима власти</t>
  </si>
  <si>
    <t>Свега за Програмску активност 0901-0001:</t>
  </si>
  <si>
    <t>Извори финансирања за Програмску активност 1801-0001:</t>
  </si>
  <si>
    <t>Свега за Програмску активност 1801-0001:</t>
  </si>
  <si>
    <t>Извори финансирања за Програм 12:</t>
  </si>
  <si>
    <t>Свега за Програм 12:</t>
  </si>
  <si>
    <t>Извори финансирања за функцију 560:</t>
  </si>
  <si>
    <t>Функција 560:</t>
  </si>
  <si>
    <t>Извори финансирања за Програмску активност 0401-0001:</t>
  </si>
  <si>
    <t>Свега за Програмску активност 0401-0001:</t>
  </si>
  <si>
    <t>ПРОГРАМ 6: ЗАШТИТА ЖИВОТНЕ СРЕДИНЕ</t>
  </si>
  <si>
    <t>Извори финансирања за Програм 6:</t>
  </si>
  <si>
    <t>Свега за Програм 6:</t>
  </si>
  <si>
    <t>МЕСНЕ ЗАЈЕДНИЦЕ ОПШТИНЕ ВЛАДИМИРЦИ</t>
  </si>
  <si>
    <t>Извори финансирања за функцију 160:</t>
  </si>
  <si>
    <t>Функција 160:</t>
  </si>
  <si>
    <t>Извори финансирања за Програмску активност 0602-0002:</t>
  </si>
  <si>
    <t>Свега за Програмску активност 0602-0002:</t>
  </si>
  <si>
    <t>ПРОГРАМ 3: ЛОКАЛНИ ЕКОНОМСКИ РАЗВОЈ</t>
  </si>
  <si>
    <t>Извори финансирања за Програм 3:</t>
  </si>
  <si>
    <t>Свега за Програм 3:</t>
  </si>
  <si>
    <t>Извршено средстава из буџета</t>
  </si>
  <si>
    <t>Извршено средстава из осталих извора</t>
  </si>
  <si>
    <t>Извори финансирања за раздео 3:</t>
  </si>
  <si>
    <t>Извори финансирања за Разделе 1,2 и 3 :</t>
  </si>
  <si>
    <t>Свега за раздео 3:</t>
  </si>
  <si>
    <t>Свега за Разделе 1,2 и 3:</t>
  </si>
  <si>
    <t>Извршено средстава из сопствених и других прихода</t>
  </si>
  <si>
    <t>Извршено укупних средстава</t>
  </si>
  <si>
    <t>Проценат изврења</t>
  </si>
  <si>
    <t>ПОРЕЗ НА ФОНД ЗАРАДА</t>
  </si>
  <si>
    <t>Порез на фонд зарада осталих запослених</t>
  </si>
  <si>
    <t>Самодоприноси према зарадама запослених</t>
  </si>
  <si>
    <t>Самодоприноси из прихода пољопривреде и шумарства</t>
  </si>
  <si>
    <t>Порез на остале приходе</t>
  </si>
  <si>
    <t>Порез на приходе спортиста и спортских стручњака</t>
  </si>
  <si>
    <t>Порез на имовину обвезника који не воде пословне књиге</t>
  </si>
  <si>
    <t>Порез на имовину обвезника који воде пословне књиге</t>
  </si>
  <si>
    <t>Накнада за загађивање животне средине</t>
  </si>
  <si>
    <t>716112</t>
  </si>
  <si>
    <t>Средства из буџета                    (Извор 01)</t>
  </si>
  <si>
    <t>Средства из сопствених извора                    (Извор 04)</t>
  </si>
  <si>
    <t>Проценат остварења средстава из буџета (Извор 01)</t>
  </si>
  <si>
    <t>Остварено средстава из сопствених извора                   (Извор 04)</t>
  </si>
  <si>
    <t>Проценат остварења средстава из сопствених извора (Извор 04)</t>
  </si>
  <si>
    <t>Трансфери од других нивоа власти                (Извор 07)</t>
  </si>
  <si>
    <t>Остварено средстава трансфера од других нивоа власти          (Извор 07)</t>
  </si>
  <si>
    <t>ОСТВАРЕНО УКУПНИХ ЈАВНИХ СРЕДСТАВА</t>
  </si>
  <si>
    <t>ПРОЦЕНАТ ОСТВАРЕЊА</t>
  </si>
  <si>
    <t>Примања од домаћих задуживања   (Извор 10)</t>
  </si>
  <si>
    <t>Остварено примања од домаћих задуживања (Извор 10)</t>
  </si>
  <si>
    <t>Проценат остварења примања од домаћих задуживања (Извор 10)</t>
  </si>
  <si>
    <t>Комунална такса за истицање и исписивање фирме ван пословног простора на објектима и просторијама који припадају јединици локалне самоуправе</t>
  </si>
  <si>
    <t>Ненаменски трансфери од Републике у корист нивоа општина</t>
  </si>
  <si>
    <t>Други текући трансфери  од Републике у корист нивоа општина</t>
  </si>
  <si>
    <t>Текући наменски трансфери, у ужем смислу, од Републике у корист нивоа општина</t>
  </si>
  <si>
    <t>741526</t>
  </si>
  <si>
    <t>741522</t>
  </si>
  <si>
    <t>741151</t>
  </si>
  <si>
    <t>Средства остварена од давања у закуп пољопривредног земљишта, односно пољопривредног објекта у државној својини</t>
  </si>
  <si>
    <t>Накнада за коришћење шума и шумског земљишта</t>
  </si>
  <si>
    <t>742155</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</si>
  <si>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</si>
  <si>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које својом делатношћу остваре органи и организације општине</t>
  </si>
  <si>
    <t>743353</t>
  </si>
  <si>
    <t>Приходи од новчаних казни за прекршаје по прекршајном налогу и казни изречених у управном поступку у корист нивоа општина</t>
  </si>
  <si>
    <t>745151</t>
  </si>
  <si>
    <t>Остали приходи у корист нивоа општина</t>
  </si>
  <si>
    <t>911000</t>
  </si>
  <si>
    <t>911451</t>
  </si>
  <si>
    <t>Примања од задуживања од пословних банака у земљи у корист нивоа општина</t>
  </si>
  <si>
    <t>Самодопринос из прихода лица која се баве самосталном делатношћу</t>
  </si>
  <si>
    <t>Проценат остварења средстава из Трансфера од других нивоа власти          (Извор 07)</t>
  </si>
  <si>
    <t>Годишња накнада за моторна возила</t>
  </si>
  <si>
    <t>741511</t>
  </si>
  <si>
    <t>Накнада за коришћење минералних сировина и геотермалних извора</t>
  </si>
  <si>
    <t>Општинске административне таксе</t>
  </si>
  <si>
    <t>Такса за озакоњење објеката у корист нивоа општина</t>
  </si>
  <si>
    <t>743924</t>
  </si>
  <si>
    <t>Приходи од увећања целокупног пореског дуга који настаје као последица принудне наплате</t>
  </si>
  <si>
    <t>Остварено средстава из буџета           (Извор 01)</t>
  </si>
  <si>
    <t>742126</t>
  </si>
  <si>
    <t>Накнада по основу конверзије права коришћења у право својине</t>
  </si>
  <si>
    <t>О Д Л У К У</t>
  </si>
  <si>
    <t>Члан 1.</t>
  </si>
  <si>
    <t>I OПШТИ ДЕО</t>
  </si>
  <si>
    <t>Члан 2.</t>
  </si>
  <si>
    <t xml:space="preserve">     </t>
  </si>
  <si>
    <t>Члан 3.</t>
  </si>
  <si>
    <t>Приоритет</t>
  </si>
  <si>
    <t>Назив капиталног пројекта</t>
  </si>
  <si>
    <t>Година почетка финансирања пројекта</t>
  </si>
  <si>
    <t>Година завршетка финансирања пројекта</t>
  </si>
  <si>
    <t>Укупна вредност пројекта</t>
  </si>
  <si>
    <t>-</t>
  </si>
  <si>
    <t>Укупно:</t>
  </si>
  <si>
    <t>Члан 4.</t>
  </si>
  <si>
    <t>Члан 5.</t>
  </si>
  <si>
    <t>ПЛАН РАСХОДА ПОСЕБАН ДЕО</t>
  </si>
  <si>
    <t>Члан 6.</t>
  </si>
  <si>
    <t xml:space="preserve">       ОПШТИ ДЕО  -   ФУНКЦИОНАЛНА КЛАСИФИКАЦИЈА РАСХОДА</t>
  </si>
  <si>
    <t>Члан 7.</t>
  </si>
  <si>
    <t>Члан 8.</t>
  </si>
  <si>
    <t>Ова одлука ступа на снагу осмог дана од дана објављивања у ,,Службеном листу града Шапца</t>
  </si>
  <si>
    <t>СКУПШТИНА ОПШТИНЕ ВЛАДИМИРЦИ</t>
  </si>
  <si>
    <t>Број _________ од _____________</t>
  </si>
  <si>
    <t>ПРЕДСЕДНИК СКУПШТИНЕ</t>
  </si>
  <si>
    <t xml:space="preserve">Драган Симеуновић </t>
  </si>
  <si>
    <t xml:space="preserve">и општина Богатић, Владимирци и Коцељева" </t>
  </si>
  <si>
    <t>Члан 9.</t>
  </si>
  <si>
    <t>Остале одредбе Одлуке о буџету општине Владимирцибр. 400-66/15-I од 21.12.2015. године</t>
  </si>
  <si>
    <t>остају непромењене</t>
  </si>
  <si>
    <t>2101</t>
  </si>
  <si>
    <t>Програм 16.  Политички систем локалне самоуправе</t>
  </si>
  <si>
    <t>2101-0001</t>
  </si>
  <si>
    <t>Функционисање скупштине</t>
  </si>
  <si>
    <t>2101-0002</t>
  </si>
  <si>
    <t>Функционисање извршних органа</t>
  </si>
  <si>
    <t>Извори финансирања за програмску активност 2101-0001:</t>
  </si>
  <si>
    <t>Свега за програмску активност 2101-0001:</t>
  </si>
  <si>
    <t>2101-П1</t>
  </si>
  <si>
    <t>2101-П2</t>
  </si>
  <si>
    <t>2101-П3</t>
  </si>
  <si>
    <t>Извори финансирања за Програм 16:</t>
  </si>
  <si>
    <t>Свега за Програм 16:</t>
  </si>
  <si>
    <t>Извори финансирања за програмску активност 2101-0002:</t>
  </si>
  <si>
    <t>Свега за програмску активност 2101-0002:</t>
  </si>
  <si>
    <t>1102</t>
  </si>
  <si>
    <t>1102-0001</t>
  </si>
  <si>
    <t>Управљање/одржавање јавним осветљењем</t>
  </si>
  <si>
    <t>1102-0002</t>
  </si>
  <si>
    <t>Одржавање јавних зелених површина</t>
  </si>
  <si>
    <t>1102-0003</t>
  </si>
  <si>
    <t>Одржавање чистоће на површинама јавне намене</t>
  </si>
  <si>
    <t>1102-0004</t>
  </si>
  <si>
    <t>Зоохигијена</t>
  </si>
  <si>
    <t>1102-0005</t>
  </si>
  <si>
    <t>1102-0006</t>
  </si>
  <si>
    <t>1102-0007</t>
  </si>
  <si>
    <t>Производња и дистрибуција топлотне енергије</t>
  </si>
  <si>
    <t>1102-0008</t>
  </si>
  <si>
    <t>1102-0009</t>
  </si>
  <si>
    <t xml:space="preserve">1102-0001  </t>
  </si>
  <si>
    <t>Извори финансирања за функцију 640:</t>
  </si>
  <si>
    <t>Функција 640:</t>
  </si>
  <si>
    <t>Извори финансирања за програмску активност 1102-0001:</t>
  </si>
  <si>
    <t>Свега за програмску активност 1102-0001:</t>
  </si>
  <si>
    <t xml:space="preserve">1102-0002  </t>
  </si>
  <si>
    <t>Кошење Зарић</t>
  </si>
  <si>
    <t>Јавна расвета тек поправке и струја</t>
  </si>
  <si>
    <t>Извори финансирања за програмску активност 1102-0002:</t>
  </si>
  <si>
    <t>Свега за програмску активност 1102-0002:</t>
  </si>
  <si>
    <t xml:space="preserve">1102-0003  </t>
  </si>
  <si>
    <t>Oдржавање чистоће на површинама јавне намене</t>
  </si>
  <si>
    <t>Извори финансирања за програмску активност 1102-0003:</t>
  </si>
  <si>
    <t>Свега за програмску активност 1102-0003:</t>
  </si>
  <si>
    <t xml:space="preserve">1102-0004 </t>
  </si>
  <si>
    <t>Извори финансирања за програмску активност 1102-0004:</t>
  </si>
  <si>
    <t>Свега за програмску активност 1102-0004:</t>
  </si>
  <si>
    <t>Извори финансирања за програмску активност 1102-0008:</t>
  </si>
  <si>
    <t>Свега за програмску активност 1102-0008:</t>
  </si>
  <si>
    <t>Приход од задуживања</t>
  </si>
  <si>
    <t>1102-П1</t>
  </si>
  <si>
    <t>Извори финансирања за функцију 630:</t>
  </si>
  <si>
    <t>Извори финансирања за пројекат 1102-П1:</t>
  </si>
  <si>
    <t>Свега за пројекат 1102-П1:</t>
  </si>
  <si>
    <t>Функција 630:</t>
  </si>
  <si>
    <t>Мере подршке руралном развоју</t>
  </si>
  <si>
    <t>ПРОГРАМ 16: ПОЛИТИЧКИ СИСТЕМ ЛОКАЛНЕ САМОУПРАВЕ</t>
  </si>
  <si>
    <t>Функционисање Скупштине</t>
  </si>
  <si>
    <t>ПРОГРАМ 16 - ПОЛИТИЧКИ СИСТЕМ ЛОКАЛНЕ САМОУПРАВЕ</t>
  </si>
  <si>
    <t>Свега за пројекат 0701-П1:</t>
  </si>
  <si>
    <t>Извори финансирања за пројекат 0701-П1:</t>
  </si>
  <si>
    <t>Aзил за керове</t>
  </si>
  <si>
    <t>1102-П2</t>
  </si>
  <si>
    <t>Изградња бунара ,,Суво Село"</t>
  </si>
  <si>
    <t>Извори финансирања за пројекат 1102-П2:</t>
  </si>
  <si>
    <t>Свега за пројекат 1102-П2:</t>
  </si>
  <si>
    <t>Стални тошкови</t>
  </si>
  <si>
    <t>0401-0005</t>
  </si>
  <si>
    <t>Управљање заштитом животне средине</t>
  </si>
  <si>
    <t>Извори финансирања за функцију 510:</t>
  </si>
  <si>
    <t>Функција 510:</t>
  </si>
  <si>
    <t>Извори финансирања за Програмску активност 0401-0005:</t>
  </si>
  <si>
    <t>Свега за Програмску активност 0401-0005:</t>
  </si>
  <si>
    <t>0901-0006</t>
  </si>
  <si>
    <t>Подршка деци и породицама са децом</t>
  </si>
  <si>
    <t>Функција 040:</t>
  </si>
  <si>
    <t>Извори финансирања за Програмску активност 0901-0006:</t>
  </si>
  <si>
    <t>Свега за Програмску активност 0901-0006:</t>
  </si>
  <si>
    <t>1801-0002</t>
  </si>
  <si>
    <t>Мртвозорство</t>
  </si>
  <si>
    <t>Функција 760:</t>
  </si>
  <si>
    <t>Извори финансирања за функцију 760:</t>
  </si>
  <si>
    <t>1201-0004</t>
  </si>
  <si>
    <t>Остваривање и унапређивање јавног интереса у области јавног инфоримисања</t>
  </si>
  <si>
    <t>Извори финансирања за функцију 830:</t>
  </si>
  <si>
    <t>Извори финансирања за програмску активност 1201-0004:</t>
  </si>
  <si>
    <t>Свега за програмску активност 1201-0004:</t>
  </si>
  <si>
    <t>Функција 830:</t>
  </si>
  <si>
    <t>ПРОГРАМ 14 - РАЗВОЈ СПОРТА И ОМЛАДИНЕ</t>
  </si>
  <si>
    <t>Извори финансирања за функцију 810:</t>
  </si>
  <si>
    <t>Функција 810:</t>
  </si>
  <si>
    <t>Свега за програмску активност 1301-0001:</t>
  </si>
  <si>
    <t>ПРОГРАМ 17 - ЕНЕРГЕТСКА ЕФИКАСНОСТ</t>
  </si>
  <si>
    <t>0501</t>
  </si>
  <si>
    <t>Програм 17.  Енергетска ефикасност</t>
  </si>
  <si>
    <t>Унапређење и побољшање енергетске ефикасности и употреба обновљивих извора енергије</t>
  </si>
  <si>
    <t>Извори финансирања за Програм 14:</t>
  </si>
  <si>
    <t>Свега за Програм 14:</t>
  </si>
  <si>
    <t>Извори финансирања за Програм 17:</t>
  </si>
  <si>
    <t>Свега за Програм 17:</t>
  </si>
  <si>
    <t>Извори финансирања за функцију 170:</t>
  </si>
  <si>
    <t>Функција 170:</t>
  </si>
  <si>
    <t>Текућа буџетска резерва</t>
  </si>
  <si>
    <t>Стална буџетска резерва</t>
  </si>
  <si>
    <t>Свега за програмску активност 0602-0009:</t>
  </si>
  <si>
    <t>Извори финансирања за програмску активност 0602-0009:</t>
  </si>
  <si>
    <t>Извори финансирања за пројекат 0602-П1:</t>
  </si>
  <si>
    <t>Свега за пројекат 0602-П1:</t>
  </si>
  <si>
    <t>Прилив од задуживања</t>
  </si>
  <si>
    <t>Пратећи тошкови задуживања</t>
  </si>
  <si>
    <t>Прање улица Зарић</t>
  </si>
  <si>
    <t>3.02</t>
  </si>
  <si>
    <t>3.03</t>
  </si>
  <si>
    <t>742156</t>
  </si>
  <si>
    <t>Приходи остварени по основу пружања услуга боравка деце у предшколским установама у корист нивоа општина</t>
  </si>
  <si>
    <t>Извори финансирања за Главу 3.03:</t>
  </si>
  <si>
    <t>Извори финансирања за програмску активност 1301-0001:</t>
  </si>
  <si>
    <t>ПРОГРАМ 7: ОРГАНИЗАЦИЈА САОБРАЋАЈА И САОБРАЋАЈНА ИНФРАСТРУКТУРА</t>
  </si>
  <si>
    <t>Програм 7: Организација саобраћаја и саобраћајна инфраструктура</t>
  </si>
  <si>
    <t>Трансакције јавног дуга</t>
  </si>
  <si>
    <t>Нераспоређени вишак из ранијих године</t>
  </si>
  <si>
    <t>Извори финансирања за Главу 3.02:</t>
  </si>
  <si>
    <t>Свега за Главу 3.02:</t>
  </si>
  <si>
    <t>Нераспоређени вишак прихода из претходних година           (Извор 13)</t>
  </si>
  <si>
    <t>2101-П4</t>
  </si>
  <si>
    <t>Oбележавање значајних датума</t>
  </si>
  <si>
    <t>Извори финансирања за пројекат 2101-П4:</t>
  </si>
  <si>
    <t>Свега за пројекат 2101-П4:</t>
  </si>
  <si>
    <t>Извори финансирања за програмску активност 0101-0001:</t>
  </si>
  <si>
    <t>Свега за програмску активност 0101-0001:</t>
  </si>
  <si>
    <t>0101-0001</t>
  </si>
  <si>
    <t>Подршка за спровођење пољопривредне политике у локалној заједници</t>
  </si>
  <si>
    <t>буџет), њено извршење, обим задуживања за потребе финансирања дефицита и програма, управљања јавним дугом, коришћење</t>
  </si>
  <si>
    <t>донација, коришћење прихода од продаје добара и услуга буџетских корисника, права и обавезе корисника буџетских средстава.</t>
  </si>
  <si>
    <t xml:space="preserve">     Приходи и примања који представљају буџетска средства утврђени су у следећим износима у рачуну прихода и примања:</t>
  </si>
  <si>
    <t>у току године покаже да апропријације нису биле довољне.</t>
  </si>
  <si>
    <t xml:space="preserve">     Председник општине/општинско веће, на предлог локалног органа управе надлежног за финансије, доноси решење о </t>
  </si>
  <si>
    <t>.употреби средстава текуће буџетске резерве</t>
  </si>
  <si>
    <t xml:space="preserve">     Средства из става 1. овог члана користе се у складу са чланом 70. Закона о буџетском систему.</t>
  </si>
  <si>
    <t>употреби средстава сталне буџетске резерве.</t>
  </si>
  <si>
    <t>II ПОСЕБАН ДЕО</t>
  </si>
  <si>
    <t>311712</t>
  </si>
  <si>
    <t>772000</t>
  </si>
  <si>
    <t>772114</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</si>
  <si>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</si>
  <si>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t>
  </si>
  <si>
    <t>Утрошен нераспоређени вишак прихода из пртходних година               (Извор 13)</t>
  </si>
  <si>
    <t>Проценат утрошеног нераспоређеног вишка прихода из пртходних година               (Извор 13)</t>
  </si>
  <si>
    <t>Нераспоређени вишак из ранијих година</t>
  </si>
  <si>
    <t>Извршење</t>
  </si>
  <si>
    <t>Приходи индирекних корисника буџета локалне самоуправе који се остварују додатним активностима</t>
  </si>
  <si>
    <t>780000</t>
  </si>
  <si>
    <t>781112</t>
  </si>
  <si>
    <t>781000</t>
  </si>
  <si>
    <t>TРАНСФЕРИ ИЗМЕЂУ БУЏЕТСКИХ КОРИСНИКА НА ИСТОМ НИВОУ</t>
  </si>
  <si>
    <t>Трансфери од директним ка индиректним корисницима на истом нивоу</t>
  </si>
  <si>
    <t>Родитељски динар за ваннаставне активности           (Извор 16)</t>
  </si>
  <si>
    <t>Родитељски динар за ваннаставне активности               (Извор 16)</t>
  </si>
  <si>
    <t>745111</t>
  </si>
  <si>
    <t>Средства по основу разлике за уплату нето прихода запосленог код исплатиоца у јавном сектору</t>
  </si>
  <si>
    <t>Примања - Родитељски динар за ваннаставне активности               (Извор 16)</t>
  </si>
  <si>
    <t>НАРЕДБОДАВАЦ</t>
  </si>
  <si>
    <t>ОБРАЗАЦ ПОПУНИО</t>
  </si>
  <si>
    <t>0901-0009</t>
  </si>
  <si>
    <t>Подршка старијим лицима и/или особама са инвалидитетом</t>
  </si>
  <si>
    <t>Извори финансирања за функцију 020:</t>
  </si>
  <si>
    <t>Функција 020:</t>
  </si>
  <si>
    <t>321311</t>
  </si>
  <si>
    <t>300000</t>
  </si>
  <si>
    <t>ПРЕНЕТА НЕУТРОШЕНА СРЕДСТВА - ОСТВАРЕЊЕ У ПЕРИОДУ 01.01.-30.09.2017. ГОДИНЕ ИЗВОР 13</t>
  </si>
  <si>
    <t>ИЗВРШЕЊЕ У ПЕРИОДУ 01.01-30.09.2017. ГОДИНЕ</t>
  </si>
  <si>
    <t>ИЗВРШЕЊЕ У ПЕРИОДУ 01.01.-30.09.2017. ГОДИНЕ</t>
  </si>
  <si>
    <t>ОСТВАРЕЊЕ ПРИХОДА У ПЕРИОДУ 01.01.-30.09.2017. ГОДИНЕ ИЗВОР 01</t>
  </si>
  <si>
    <t>ОСТВАРЕЊЕ ПРИХОДА У ПЕРИОДУ 01.01.-30.09.2017. ГОДИНЕ ИЗВОР 04</t>
  </si>
  <si>
    <t>ОСТВАРЕЊЕ ПРИХОДА У ПЕРИОДУ 01.01.-30.09.2017. ГОДИНЕ ИЗВОР 07</t>
  </si>
  <si>
    <t>ОСТВАРЕЊЕ ПРИХОДА У ПЕРИОДУ 01.01.-30.09.2017. ГОДИНЕ ИЗВОР 10</t>
  </si>
  <si>
    <t>ОСТВАРЕЊЕ ПРИХОДА У ПЕРИОДУ 01.01.-30.09.2017. ГОДИНЕ ИЗВОР 16</t>
  </si>
  <si>
    <t>OСТВАРЕЊЕ ПРИХОДА И ПРЕНЕТИХ НЕУТРОШЕНИХ СРЕДСТАВА У ПЕРИОДУ  01.01.-30.09.2017. ГОДИНЕ</t>
  </si>
  <si>
    <t>ОПШТИ ДЕО  -    ИЗДАЦИ ПО ОСНОВНИМ НАМЕНАМА</t>
  </si>
  <si>
    <t>ОПШТИ ДЕО - ПРОГРАМСКА КЛАСИФИКАЦИЈА РАСХОДА</t>
  </si>
  <si>
    <t>OРГАНИЗАЦИОНА КЛАСИФИКАЦИЈА - ИЗВРШЕЊЕ У ПЕРИОДУ 01.01.-30.09.2017. ГОДИНЕ</t>
  </si>
  <si>
    <t>Функција 070:</t>
  </si>
  <si>
    <t>Извори финансирања за функцију 070:</t>
  </si>
  <si>
    <t>0901-П1</t>
  </si>
  <si>
    <t>Куповина кућа за породице избеглих лица</t>
  </si>
  <si>
    <t>Извори финансирања за Пројекат 0901-П1:</t>
  </si>
  <si>
    <t>Свега за пројекат 0901-П1:</t>
  </si>
  <si>
    <t>РЕБАЛАНС</t>
  </si>
  <si>
    <t>Донације од међународних организација (Извор 06)</t>
  </si>
  <si>
    <t>Остварено донације од међународних организација (Извор 06)</t>
  </si>
  <si>
    <t>Проценат извршења донација од међународних организација (Извор 06)</t>
  </si>
  <si>
    <t>732151</t>
  </si>
  <si>
    <t>Текуће донације од међународних организација у корист нивоа општина</t>
  </si>
  <si>
    <t>и гласи:</t>
  </si>
  <si>
    <t>по програмима и корисницима на следећи начин:</t>
  </si>
  <si>
    <t>остају на снази</t>
  </si>
  <si>
    <t xml:space="preserve">     Ова Одлука ступа на снагу 8 дана од дана објављивања у Службеном листу града Шапца и општина Богатић</t>
  </si>
  <si>
    <t>Владимирци и Коцељева</t>
  </si>
  <si>
    <t>ПРЕДСЕДНИК</t>
  </si>
  <si>
    <t>СКУПШТИНЕ ОПШТИНЕ</t>
  </si>
  <si>
    <t>_________________________</t>
  </si>
  <si>
    <t>Драган Симеуновић</t>
  </si>
  <si>
    <t>Капитални наменски трансфери, у ужем смислу, од Републике у корист нивоа општина</t>
  </si>
  <si>
    <t>Извори финансирања за функцију 540:</t>
  </si>
  <si>
    <t>Функција 540:</t>
  </si>
  <si>
    <t>Сервисирање јавног дуга</t>
  </si>
  <si>
    <t>65</t>
  </si>
  <si>
    <t>Мере активне политике запошљавања</t>
  </si>
  <si>
    <t>Извори финансирања за Програмску активност 1501-0002:</t>
  </si>
  <si>
    <t>Свега за Програмску активност 1501-0002:</t>
  </si>
  <si>
    <t>Просторно и урбанистичко планирање</t>
  </si>
  <si>
    <t>Уређење трга у Владимирцима</t>
  </si>
  <si>
    <t>Извори финансирања за Пројекат 1101-П1:</t>
  </si>
  <si>
    <t>Свега за Пројекат 1101-П1:</t>
  </si>
  <si>
    <t>Извори финансирања за функцију 133:</t>
  </si>
  <si>
    <t>Функција 133:</t>
  </si>
  <si>
    <t>Управљање и одржавање саобраћајне инфраструктуре</t>
  </si>
  <si>
    <t>Извори финансирања за функцију 451:</t>
  </si>
  <si>
    <t>Функција 451:</t>
  </si>
  <si>
    <t>Једнократне помоћи и други облици помоћи</t>
  </si>
  <si>
    <t>0901-П2</t>
  </si>
  <si>
    <t>Куповина кућа и грађевинског материјала за интерно расељена лица</t>
  </si>
  <si>
    <t>Извори финансирања за Пројекат 0901-П2:</t>
  </si>
  <si>
    <t>Свега за Пројекат 0901-П2:</t>
  </si>
  <si>
    <t>Подршка реализацији програма Црвеног крста</t>
  </si>
  <si>
    <t>Дневне услуге у заједници</t>
  </si>
  <si>
    <t>Извори финансирања за функцију 060:</t>
  </si>
  <si>
    <t>Функција 060:</t>
  </si>
  <si>
    <t>Извори финансирања за Програмску активност 0901-0002:</t>
  </si>
  <si>
    <t>Свега за Програмску активност 0901-0002:</t>
  </si>
  <si>
    <t>Породични и домски смештај, прихватилишта и друге врсте смештаја</t>
  </si>
  <si>
    <t>0901-0007</t>
  </si>
  <si>
    <t>Подршка рађању и родитељству</t>
  </si>
  <si>
    <t>Извори финансирања за функцију 040:</t>
  </si>
  <si>
    <t>Извори финансирања за Програмску активност 0901-0007:</t>
  </si>
  <si>
    <t>Свега за Програмску активност 0901-0007:</t>
  </si>
  <si>
    <t>Реконструкција тротоара у улици Светог Саве у Владимирцима</t>
  </si>
  <si>
    <t>Извори финансирања за пројекат 0701-П2:</t>
  </si>
  <si>
    <t>Свега за пројекат 0701-П2:</t>
  </si>
  <si>
    <t>Изградња ограде око средње школе</t>
  </si>
  <si>
    <t>Извори финансирања за Програмску активност 1801-0002:</t>
  </si>
  <si>
    <t>Свега за Програмску активност 1801-0002:</t>
  </si>
  <si>
    <t>Набавка санитетског возила за потребе Дома Здравља Владимирци</t>
  </si>
  <si>
    <t>Опрема</t>
  </si>
  <si>
    <t>Извори финансирања за функцију 710:</t>
  </si>
  <si>
    <t>Функција 710:</t>
  </si>
  <si>
    <t>Извори финансирања за Пројекат 1801-П1:</t>
  </si>
  <si>
    <t>Свега за Пројекат 1801-П1:</t>
  </si>
  <si>
    <t>Изградња индустријске зоне</t>
  </si>
  <si>
    <t>Свега за Пројекат 1501-П1:</t>
  </si>
  <si>
    <t>Извори финансирања за Пројекат 1501-П1:</t>
  </si>
  <si>
    <t xml:space="preserve">1102-0008  </t>
  </si>
  <si>
    <t>Управљање и снабдевање водом за пиће</t>
  </si>
  <si>
    <t>Извори финансирања за функцију 412:</t>
  </si>
  <si>
    <t>Функција 412:</t>
  </si>
  <si>
    <t>Извори финансирања за функцију 411:</t>
  </si>
  <si>
    <t>Функција 411:</t>
  </si>
  <si>
    <t>Субвенције Извор</t>
  </si>
  <si>
    <t>Извори финансирања за функцију 360:</t>
  </si>
  <si>
    <t>Функција 360:</t>
  </si>
  <si>
    <t>ПРОГРАМ 13 - РАЗВОЈ КУЛТУРЕ И ИНФОРМИСАЊА</t>
  </si>
  <si>
    <t>Програм 13.  Развој културе и информисања</t>
  </si>
  <si>
    <t>Унапређење система очувања и представљања културно-историјског наслеђа</t>
  </si>
  <si>
    <t>1201-0003</t>
  </si>
  <si>
    <t>Извори финансирања за функцију 860:</t>
  </si>
  <si>
    <t>Функција 860:</t>
  </si>
  <si>
    <t>Извори финансирања за програмску активност 1201-0003:</t>
  </si>
  <si>
    <t>Свега за програмску активност 1201-0003:</t>
  </si>
  <si>
    <t>0501-П1</t>
  </si>
  <si>
    <t>Замена сијалица јавне расвете у циљу енергетске ефикасности</t>
  </si>
  <si>
    <t>Свега за пројекат 0501-П1:</t>
  </si>
  <si>
    <t>Извори финансирања за пројекат 0501-П1:</t>
  </si>
  <si>
    <t>Извори финансирања за функцију 436:</t>
  </si>
  <si>
    <t>Функција 436:</t>
  </si>
  <si>
    <t>125</t>
  </si>
  <si>
    <t>126</t>
  </si>
  <si>
    <t>Свега за Главу 3.03:</t>
  </si>
  <si>
    <t>3.01</t>
  </si>
  <si>
    <t>78</t>
  </si>
  <si>
    <t>Извори финансирања за пројекат 2003-П1:</t>
  </si>
  <si>
    <t>Свега за пројекат 2003-П1:</t>
  </si>
  <si>
    <t>Извори финансирања за програмску активност 1301-0002:</t>
  </si>
  <si>
    <t>Свега за програмску активност 1301-0002:</t>
  </si>
  <si>
    <t>Подршка предшколском и школском спорту</t>
  </si>
  <si>
    <t>ПРОГРАМ 1: СТАНОВАЊЕ УРБАНИЗАМ И ПРОСТОРНО ПЛАНИРАЊЕ</t>
  </si>
  <si>
    <t>1101-0005</t>
  </si>
  <si>
    <t>Oстваривање јавног интереса у одржавању зграда</t>
  </si>
  <si>
    <t>Извори финансирања за Програмску активност 1101-0005:</t>
  </si>
  <si>
    <t>Свега за Програмску активност 1101-0005:</t>
  </si>
  <si>
    <t>Геотермална бушотина</t>
  </si>
  <si>
    <t>Извори финансирања за функцију 487:</t>
  </si>
  <si>
    <t>Функција 487:</t>
  </si>
  <si>
    <t>Извори финансирања за Пројекат 1501-П2:</t>
  </si>
  <si>
    <t>Свега за Пројекат 1501-П2:</t>
  </si>
  <si>
    <t>27</t>
  </si>
  <si>
    <t>29</t>
  </si>
  <si>
    <t>30</t>
  </si>
  <si>
    <t>31</t>
  </si>
  <si>
    <t>33</t>
  </si>
  <si>
    <t>34</t>
  </si>
  <si>
    <t>35</t>
  </si>
  <si>
    <t>36</t>
  </si>
  <si>
    <t>37</t>
  </si>
  <si>
    <t>38</t>
  </si>
  <si>
    <t>39</t>
  </si>
  <si>
    <t>40</t>
  </si>
  <si>
    <t>41</t>
  </si>
  <si>
    <t>42</t>
  </si>
  <si>
    <t>43</t>
  </si>
  <si>
    <t>44</t>
  </si>
  <si>
    <t>45</t>
  </si>
  <si>
    <t>46</t>
  </si>
  <si>
    <t>47</t>
  </si>
  <si>
    <t>48</t>
  </si>
  <si>
    <t>49</t>
  </si>
  <si>
    <t>50</t>
  </si>
  <si>
    <t>53</t>
  </si>
  <si>
    <t>54</t>
  </si>
  <si>
    <t>55</t>
  </si>
  <si>
    <t>56</t>
  </si>
  <si>
    <t>57</t>
  </si>
  <si>
    <t>58</t>
  </si>
  <si>
    <t>59</t>
  </si>
  <si>
    <t>60</t>
  </si>
  <si>
    <t>61</t>
  </si>
  <si>
    <t>62</t>
  </si>
  <si>
    <t>63</t>
  </si>
  <si>
    <t>Програм 1.  Становање, урбанизам и просторно планирање</t>
  </si>
  <si>
    <t>66</t>
  </si>
  <si>
    <t>67</t>
  </si>
  <si>
    <t>68</t>
  </si>
  <si>
    <t>69</t>
  </si>
  <si>
    <t>70</t>
  </si>
  <si>
    <t>71</t>
  </si>
  <si>
    <t>72</t>
  </si>
  <si>
    <t>73</t>
  </si>
  <si>
    <t>ПРОГРАМ 5 - ПОЉОПРИВРЕДА И РУРАЛНИ РАЗВОЈ</t>
  </si>
  <si>
    <t>76</t>
  </si>
  <si>
    <t>82</t>
  </si>
  <si>
    <t>83</t>
  </si>
  <si>
    <t>ПРОГРАМ 9 - ОСНОВНО ОБРАЗОВАЊЕ И ВАСПИТАЊЕ</t>
  </si>
  <si>
    <t>ПРОГРАМ 10 - СРЕДЊЕ ОБРАЗОВАЊЕ И ВАСПИТАЊЕ</t>
  </si>
  <si>
    <t>84</t>
  </si>
  <si>
    <t>85</t>
  </si>
  <si>
    <t>86</t>
  </si>
  <si>
    <t>87</t>
  </si>
  <si>
    <t>88</t>
  </si>
  <si>
    <t>89</t>
  </si>
  <si>
    <t>90</t>
  </si>
  <si>
    <t>91</t>
  </si>
  <si>
    <t>92</t>
  </si>
  <si>
    <t>Извори финансирања за функцију 722:</t>
  </si>
  <si>
    <t>Функција 722:</t>
  </si>
  <si>
    <t>93</t>
  </si>
  <si>
    <t>94</t>
  </si>
  <si>
    <t>95</t>
  </si>
  <si>
    <t>96</t>
  </si>
  <si>
    <t>97</t>
  </si>
  <si>
    <t>98</t>
  </si>
  <si>
    <t>99</t>
  </si>
  <si>
    <t>101</t>
  </si>
  <si>
    <t>102</t>
  </si>
  <si>
    <t>103</t>
  </si>
  <si>
    <t>104</t>
  </si>
  <si>
    <t>105</t>
  </si>
  <si>
    <t>106</t>
  </si>
  <si>
    <t>107</t>
  </si>
  <si>
    <t>108</t>
  </si>
  <si>
    <t>109</t>
  </si>
  <si>
    <t>114</t>
  </si>
  <si>
    <t>115</t>
  </si>
  <si>
    <t>116</t>
  </si>
  <si>
    <t>117</t>
  </si>
  <si>
    <t>118</t>
  </si>
  <si>
    <t>119</t>
  </si>
  <si>
    <t>123</t>
  </si>
  <si>
    <t>124</t>
  </si>
  <si>
    <t>127</t>
  </si>
  <si>
    <t>128</t>
  </si>
  <si>
    <t>129</t>
  </si>
  <si>
    <t>134</t>
  </si>
  <si>
    <t>135</t>
  </si>
  <si>
    <t>136</t>
  </si>
  <si>
    <t>137</t>
  </si>
  <si>
    <t>138</t>
  </si>
  <si>
    <t>139</t>
  </si>
  <si>
    <t>Програм 8.  Предшколско oбразовање и васпитање</t>
  </si>
  <si>
    <t>Програм 9.  Основно образовање и васпитање</t>
  </si>
  <si>
    <t>Програм 10. Средње образовање и васпитање</t>
  </si>
  <si>
    <t>ОПШТИ ДЕО - ПЛАН ПРИХОДА И ПРИМАЊА</t>
  </si>
  <si>
    <t>Изградња бунара Суво Село</t>
  </si>
  <si>
    <t>Просторно и урбанист. план.</t>
  </si>
  <si>
    <t>Реконстр.зграде полиц.станице</t>
  </si>
  <si>
    <t>Асфалтирање путева</t>
  </si>
  <si>
    <t>Постављање лежећих полицајаца</t>
  </si>
  <si>
    <t>Асфалтирање пута Месарци-Бељин</t>
  </si>
  <si>
    <t>Зграда за социјално становање</t>
  </si>
  <si>
    <t>Набавка санитетског возила за потребе дома здравља</t>
  </si>
  <si>
    <t>Терени за мали фудбал</t>
  </si>
  <si>
    <t>Опрема за културу - полице за потребе Библиотеке Диша Атић</t>
  </si>
  <si>
    <t>Реконструкција тротоара Владимирци</t>
  </si>
  <si>
    <t>Куповина књига за потребе Библиотеке Диша Атић</t>
  </si>
  <si>
    <t>Опрема за културу - Јаловичка ликовна колонија</t>
  </si>
  <si>
    <t>Опрема за опремање вртића</t>
  </si>
  <si>
    <t>Капитално одржавање зграде Општинске управе</t>
  </si>
  <si>
    <t>Набавка рачунарске, канцеларијске и електронске опреме за потребе Општинске управе</t>
  </si>
  <si>
    <t>Набавка софтвера за потребе Општинске управе - Одељења за финансије и буџет</t>
  </si>
  <si>
    <t>Набавка земљишта - накнада за одузето земљиште и за потребе вишенаменске акумулације Вукошић</t>
  </si>
  <si>
    <t>Извор 13</t>
  </si>
  <si>
    <t>Извор 10</t>
  </si>
  <si>
    <t>Извор 07</t>
  </si>
  <si>
    <t>Извор 04</t>
  </si>
  <si>
    <t>Извор 01</t>
  </si>
  <si>
    <t>од капиталних трансфера од нивоа републике (Извор 07).</t>
  </si>
  <si>
    <t>Изградња бунара ,,Суво Село" и ,,Риђаке"</t>
  </si>
  <si>
    <t>UMANJENJE</t>
  </si>
  <si>
    <t>POVECANJE</t>
  </si>
  <si>
    <t>Извори финансирања за пројекат 0701-П3:</t>
  </si>
  <si>
    <t>Свега за пројекат 0701-П3:</t>
  </si>
  <si>
    <t>511</t>
  </si>
  <si>
    <t>Набавка софтвера за потребе Општинске управе</t>
  </si>
  <si>
    <t>3.04</t>
  </si>
  <si>
    <t>Туристичка организација општине Владимирци</t>
  </si>
  <si>
    <t>ПРОГРАМ 4: РАЗВОЈ ТУРИЗМА</t>
  </si>
  <si>
    <t>Извори финансирања за функцију 473:</t>
  </si>
  <si>
    <t>Извори финансирања за Програмску активност 1502-0001:</t>
  </si>
  <si>
    <t>Свега за Програмску активност 1502-0001:</t>
  </si>
  <si>
    <t>Функција 473:</t>
  </si>
  <si>
    <t>Извори финансирања за Програм 4:</t>
  </si>
  <si>
    <t>Извори финансирања за Главу 3.04:</t>
  </si>
  <si>
    <t>Свега за Главу 3.04:</t>
  </si>
  <si>
    <t>Унапређење информационо техничких капацитета Библиотеке ,,Диша Атић" Владимирци</t>
  </si>
  <si>
    <t>Извори финансирања за пројекат 1201-П2:</t>
  </si>
  <si>
    <t>Свега за пројекат 1201-П2:</t>
  </si>
  <si>
    <t>Извори финансирања за Главу 3.00:</t>
  </si>
  <si>
    <t>Свега за Главу 3.00:</t>
  </si>
  <si>
    <t>77</t>
  </si>
  <si>
    <t>Члан 8</t>
  </si>
  <si>
    <t>После члана 36. Одлуке о буџету општине Владимирци за 2018. годину бр. 400-38/17-I oд 21.12.2017. године</t>
  </si>
  <si>
    <t>додаје се члан 36а. и гласи:</t>
  </si>
  <si>
    <t>За функционисање основних школа на територији Општине Владимирци су опредељена средства у износу од</t>
  </si>
  <si>
    <t>економским класификацијама:</t>
  </si>
  <si>
    <t>Редни Број</t>
  </si>
  <si>
    <t>Износ</t>
  </si>
  <si>
    <t>Економска Класиф.</t>
  </si>
  <si>
    <t xml:space="preserve">    Од наведеног износа за основну школу ,,Јован Цвијић" Дебрц је опредељено у апсолутном износу и по </t>
  </si>
  <si>
    <t>Укупно Основна Школа ,,Јован Цвијић" Дебрц:</t>
  </si>
  <si>
    <t xml:space="preserve">    Од наведеног износа за основну школу ,,Жика Поповић" Владимирци је опредељено у апсолутном износу и по </t>
  </si>
  <si>
    <t>економским класификацијама</t>
  </si>
  <si>
    <t>Накнаде штете за повреде или штету нанету од државних органа</t>
  </si>
  <si>
    <t>Укупно Основна Школа ,,Жика Поповић" Владимирци:</t>
  </si>
  <si>
    <t>18.798.150,00 динара на Програмској активности 2002-0001 Функционисање основних школа, Програм 2002: Програм 9 - Основно образовање и васпитање, функција 912, економска класификација 463, позиција 80</t>
  </si>
  <si>
    <t>по економским класификацијама по намени</t>
  </si>
  <si>
    <t>Укупно Дом Здравља Владимирци:</t>
  </si>
  <si>
    <t>Програм 12 - Примарна здравствена заштита, функција 760, економска класификација 464, Позиција 91 и то</t>
  </si>
  <si>
    <t>Програмској  активности 1801-0001 Функционисање установа примарне здравствене заштите, Програм 1801:</t>
  </si>
  <si>
    <t xml:space="preserve">   За функционисање Центра за социјални рад  Владимирци су опредељена средства у износу од 10.000.000,00 динара</t>
  </si>
  <si>
    <t>на програмској активности 0901-0001 Једнократне помоћи и други облици помоћи,Програм 0901 - Програм 11 Социјална</t>
  </si>
  <si>
    <t xml:space="preserve">и дечја заштита, функција 090, економска класификација 463, Позиција 83 и то по економским класификацијама и </t>
  </si>
  <si>
    <t>намени:</t>
  </si>
  <si>
    <t>Укупно Центар за социјални рад:</t>
  </si>
  <si>
    <t xml:space="preserve">   За функционисање Посавотамнавске средње школе  су опредељена средства у износу од 5.500.000,00 динара на</t>
  </si>
  <si>
    <t xml:space="preserve">Програмској активности 2002-0001 Функционисање основних школа, Програм 2003: Програм 10   Средње                                                                                                                                                                                                                                                                                                                                                    </t>
  </si>
  <si>
    <t>образовање и васпитање, функција 920, економска класификација 463, Позиција 81 и то по економским</t>
  </si>
  <si>
    <t>класификацијама и намени:</t>
  </si>
  <si>
    <t>Укупно Посавотамнавска средња школа:</t>
  </si>
  <si>
    <t xml:space="preserve">     За функционисање Дома Здравља  Владимирци су опредељена средства у износу од 14.000.000,00 динара на</t>
  </si>
  <si>
    <t>Изградња нове управне зграде</t>
  </si>
  <si>
    <t>Извори финансирања за пројекат 0602-П2:</t>
  </si>
  <si>
    <t>Свега за пројекат 0602-П2:</t>
  </si>
  <si>
    <t>67/1</t>
  </si>
  <si>
    <t>68/1</t>
  </si>
  <si>
    <t>ИЗДАЦИ ЗА ОТПЛАТУ ГЛАВНИЦЕ И НАБАВКУ ФИНАНСИЈСКЕ ИМОВИНЕ</t>
  </si>
  <si>
    <t>Примања од oтплате станова у корист нивоа општина</t>
  </si>
  <si>
    <t>2. РЕБАЛАНС</t>
  </si>
  <si>
    <t>3. РЕБАЛАНС</t>
  </si>
  <si>
    <t>uprava</t>
  </si>
  <si>
    <t>turistorg</t>
  </si>
  <si>
    <t>ukupno</t>
  </si>
  <si>
    <t>15.08-31.08.</t>
  </si>
  <si>
    <t>Nova uprava</t>
  </si>
  <si>
    <t>Nova turist.org</t>
  </si>
  <si>
    <t>Visak mase</t>
  </si>
  <si>
    <t>Aleksandra</t>
  </si>
  <si>
    <t>Mikan</t>
  </si>
  <si>
    <t>OBRAČUN PLATA ZA PRERASPODELU U OKVIRU UPRAVE I TURISTIČKE ORGANIZACIJE 3. REBALANS</t>
  </si>
  <si>
    <t>Плате, додаци и накнаде ...</t>
  </si>
  <si>
    <t>Доприноси на терет послодавца</t>
  </si>
  <si>
    <t>PROMENA UPRAVA</t>
  </si>
  <si>
    <t>PROMENA TUR.ORG</t>
  </si>
  <si>
    <t>PROMENA UKUPNO</t>
  </si>
  <si>
    <t>UKUPNO</t>
  </si>
  <si>
    <t>UPR.+TUR.ORG</t>
  </si>
  <si>
    <t>TUR.ORG MASA 1 GODINA</t>
  </si>
  <si>
    <t>TUR.ORG</t>
  </si>
  <si>
    <t>UPRAVA</t>
  </si>
  <si>
    <t xml:space="preserve">     Расходи и издаци буџета утврђују су у следећим износима у рачуну расхода и издатака:</t>
  </si>
  <si>
    <t>t2</t>
  </si>
  <si>
    <t>so</t>
  </si>
  <si>
    <t>predsednik</t>
  </si>
  <si>
    <t>biblioteka</t>
  </si>
  <si>
    <t>suncokreti</t>
  </si>
  <si>
    <t>turist</t>
  </si>
  <si>
    <t>organi</t>
  </si>
  <si>
    <t>bibliotek</t>
  </si>
  <si>
    <t>suncokr</t>
  </si>
  <si>
    <t>turizam</t>
  </si>
  <si>
    <t>preds</t>
  </si>
  <si>
    <t>organi ukup</t>
  </si>
  <si>
    <t>bibliot</t>
  </si>
  <si>
    <t>sucokret</t>
  </si>
  <si>
    <t>turorg</t>
  </si>
  <si>
    <t>ПРОГРАМ 12: ЗДРАВСТВЕНА ЗАШТИТА</t>
  </si>
  <si>
    <t>Функционисање и остваривање предшколскиог васпитања и образовања</t>
  </si>
  <si>
    <t>Превоз ученика средње школе</t>
  </si>
  <si>
    <t>Превоз ученика основних школа</t>
  </si>
  <si>
    <t>Извори финансирања за пројекат 2002-П1:</t>
  </si>
  <si>
    <t>Свега за пројекат 2002-П1:</t>
  </si>
  <si>
    <t xml:space="preserve">Реконструкција улице Бибе Карановић </t>
  </si>
  <si>
    <t>Извори финансирања за пројекат 0701-П4:</t>
  </si>
  <si>
    <t>Свега за пројекат 0701-П4:</t>
  </si>
  <si>
    <t>Асфалтирање дела локалног пута Л-21 Камена Ћуприја - Вукошић</t>
  </si>
  <si>
    <t>Асфалтирање дела локалног пута Л-9  Вукошић према Заблаћу</t>
  </si>
  <si>
    <t>Извори финансирања за пројекат 0701-П5:</t>
  </si>
  <si>
    <t>Свега за пројекат 0701-П5:</t>
  </si>
  <si>
    <t>Асфалтирање дела локалног пута Л-25  Владимирци Миљковци - Крнуле школа</t>
  </si>
  <si>
    <t>Асфалтирање дела локалног пута Л-43 Јаловик - Гомилица</t>
  </si>
  <si>
    <t>Извори финансирања за пројекат 0701-П6:</t>
  </si>
  <si>
    <t>Свега за пројекат 0701-П6:</t>
  </si>
  <si>
    <t>Извори финансирања за пројекат 0701-П7:</t>
  </si>
  <si>
    <t>Свега за пројекат 0701-П7:</t>
  </si>
  <si>
    <t>Реконструкција ћуприје на локалном путу       Л-35 Риђаке - Скупљен</t>
  </si>
  <si>
    <t>Извори финансирања за пројекат 0701-П8:</t>
  </si>
  <si>
    <t>Свега за пројекат 0701-П8:</t>
  </si>
  <si>
    <t>Асфалтирање пута Л-41 Звезд - Прово (Суваја - Рашковија - Мостиња - Камичак)</t>
  </si>
  <si>
    <t>Асфалтирање пута Л-38 Меховине - Риђаке (кроз Гашиће)</t>
  </si>
  <si>
    <t>Извори финансирања за пројекат 0701-П9:</t>
  </si>
  <si>
    <t>Свега за пројекат 0701-П9:</t>
  </si>
  <si>
    <t>42. Сазив Јаловичке ликовне колоније</t>
  </si>
  <si>
    <t>Пројекат ,,Exchange 5" - упис јавне својине</t>
  </si>
  <si>
    <t xml:space="preserve">     Овом одлуком уређују се приходи и примања, расходи и издаци буџета општине Владимирци за 2019. годину (у даљем тексту: </t>
  </si>
  <si>
    <t xml:space="preserve">     Приходи и примања и расходи и издаци за 2019. годину утврђени су у следећим износима:</t>
  </si>
  <si>
    <t xml:space="preserve">     Издаци за капиталне пројекте, планирани за буџетску 2019. и наредне две године , исказани су у табели капиталних пројеката:</t>
  </si>
  <si>
    <t>Опрема за културу за потребе Библиотеке Диша Атић</t>
  </si>
  <si>
    <t xml:space="preserve">      Средства из става 1. овог члана користе се за непланиране сврхе за које нису утврђене апропријације или за сврхе за које се у току године</t>
  </si>
  <si>
    <t>Набавка земљишта - накнада за одузето земљиште</t>
  </si>
  <si>
    <t>Израда пројектне документације за капиталне пројекте</t>
  </si>
  <si>
    <t>КАПИТАЛНИ ПРОЈЕКТИ У ПЕРИОДУ 2019-2022. ГОДИНЕ у хиљадама динара</t>
  </si>
  <si>
    <t xml:space="preserve">     Овом одлуком о буџету општине Владимирци за 2019. годину обезбеђена су средства за наведене пројекте у укупном износу</t>
  </si>
  <si>
    <t>2. Из сопствених прихода индиректних корисника буџета (Извор 04) у износу од 30.000,00 динара</t>
  </si>
  <si>
    <t>Извор 06</t>
  </si>
  <si>
    <t xml:space="preserve">     За капиталне пројекте планирано је да се у 2020. години обезбеде средства из буџета општине Владимирци у износу од</t>
  </si>
  <si>
    <t xml:space="preserve">     За капиталне пројекте планирано је да се у 2021. години обезбеде средства у износу од 30.000.000,00 динара и то у укупном износу</t>
  </si>
  <si>
    <t xml:space="preserve">     Структура финансирања капиталних пројеката у 2019. години по изворима финансирања:</t>
  </si>
  <si>
    <t>21</t>
  </si>
  <si>
    <t>22</t>
  </si>
  <si>
    <t>23</t>
  </si>
  <si>
    <t>24</t>
  </si>
  <si>
    <t>25</t>
  </si>
  <si>
    <t>26</t>
  </si>
  <si>
    <t>28</t>
  </si>
  <si>
    <t>32</t>
  </si>
  <si>
    <t>51</t>
  </si>
  <si>
    <t>52</t>
  </si>
  <si>
    <t>64</t>
  </si>
  <si>
    <t>74</t>
  </si>
  <si>
    <t>75</t>
  </si>
  <si>
    <t>79</t>
  </si>
  <si>
    <t>80</t>
  </si>
  <si>
    <t>0602-П</t>
  </si>
  <si>
    <t>81</t>
  </si>
  <si>
    <t>задуживања.</t>
  </si>
  <si>
    <t>Примања од продаје нефинансијске имовине (Извор 09)</t>
  </si>
  <si>
    <t>Извор 09</t>
  </si>
  <si>
    <t>Набавка рач., канц., саобр. и електронске опреме за потребе Општинске управе</t>
  </si>
  <si>
    <t>Цевовод Јазовник</t>
  </si>
  <si>
    <t>Набавка рач., канц.е, саобраћ. и електр. опреме за потребе Општинске управе</t>
  </si>
  <si>
    <t>Израда пројектне документ.е за кап. пројекте</t>
  </si>
  <si>
    <t>OSNOVICA</t>
  </si>
  <si>
    <t>PDV</t>
  </si>
  <si>
    <t>26/1</t>
  </si>
  <si>
    <t>Изградња цевовода Риђаке - Лојанице и реконструкција водоводне мреже у Варошици Владимирци - Пројектна документација</t>
  </si>
  <si>
    <t>55/1</t>
  </si>
  <si>
    <t>Текуће помоћи од ЕУ</t>
  </si>
  <si>
    <t>732341</t>
  </si>
  <si>
    <t>Текуће помоћи од ЕУ у корист нивоа општина</t>
  </si>
  <si>
    <t>141</t>
  </si>
  <si>
    <t>135/1</t>
  </si>
  <si>
    <t>142</t>
  </si>
  <si>
    <t>143</t>
  </si>
  <si>
    <t>1100</t>
  </si>
  <si>
    <t>sistem rebalansa finansijskih planova</t>
  </si>
  <si>
    <t>Извори финансирања за пројекат 0701-П10:</t>
  </si>
  <si>
    <t>Свега за пројекат 0701-П10:</t>
  </si>
  <si>
    <t xml:space="preserve">Реконструкција дела улице Бибе Карановић </t>
  </si>
  <si>
    <t>Асфалтирање дела локалног пута Л-15 Власаница-Петковац-Крнић (пут О2)</t>
  </si>
  <si>
    <t>71/1</t>
  </si>
  <si>
    <t>71/2</t>
  </si>
  <si>
    <t>Извори финансирања за пројекат 0701-П11:</t>
  </si>
  <si>
    <t>Свега за пројекат 0701-П11:</t>
  </si>
  <si>
    <t>Асфалтирање улице према улици Византијској у Варошици Владимирци</t>
  </si>
  <si>
    <t>Текуће                   помоћи од ЕУ                  (Извор 56)</t>
  </si>
  <si>
    <t xml:space="preserve">     Буџет општине Владимирци за 2019. годину састоји се од:</t>
  </si>
  <si>
    <t xml:space="preserve">     Meња се члан 2. Одлуке о буџету општине Владимирци број 400-62/18-I од дана 21.12.2018. године и гласи:</t>
  </si>
  <si>
    <t xml:space="preserve">     На основу члана 43. и 63.  Закона о буџетском систему (,,Сл.гласник РС",бр. 54/09, 73/10,..., 25/18 и 31/19), члана 32. ст. 1 и 2.</t>
  </si>
  <si>
    <t xml:space="preserve">     Мења се члан 3. Одлуке о буџету општине Владимирци за 2018. годину бр. 400-62/18-I од 21.12.2018. године и гласи:</t>
  </si>
  <si>
    <t xml:space="preserve">      Средства текуће буџетске резерве планирају се у буџету општине Владимирци у износу од 328.744,00 динара.</t>
  </si>
  <si>
    <t xml:space="preserve">     Средства сталне буџетске резерве планирају се у буџету општине Владимирци у износу од 34.355,00 динара.</t>
  </si>
  <si>
    <t xml:space="preserve">     Мења се члан 4. Одлуке о буџету општине Владимирци за 2018. годину бр. 400-62/18-I од 21.12.2018. године и гласи:</t>
  </si>
  <si>
    <t xml:space="preserve">     Мења се члан 5. Одлуке о буџету општине Владимирци за 2018. годину бр. 400-62/18-I од 21.12.2018. године и гласи:</t>
  </si>
  <si>
    <t xml:space="preserve">     Мења се члан 6. Одлуке о буџету општине Владимирци за 2018. годину бр. 400-62/18-I од 21.12.2018. године и гласи:</t>
  </si>
  <si>
    <t>Трг Владимирци - обавезе из 2018. године</t>
  </si>
  <si>
    <t>Трг Владимирци-обавезе из 2018.</t>
  </si>
  <si>
    <t>Набавка опреме за Базен - Туристичка организација</t>
  </si>
  <si>
    <t>Асфалтирање путева - обавезе из 2018. године</t>
  </si>
  <si>
    <t>Пројекат Цевовода Риђаке-Лојанице-Владимирци-Скупљен-Прово и реконструкције водовода у Варошици</t>
  </si>
  <si>
    <t>4. Из примања од продаје нефинансијске имовине (Извор 09) у износу од 28.427,00 динара</t>
  </si>
  <si>
    <t>5. Из примања од задуживања код пословних банака у земљи (Извор 10) у износу од 17.530.000,00 динара</t>
  </si>
  <si>
    <t>6. Из пренетих неутрошених средстава (Извор 13) у износу од 291.120,16 динара</t>
  </si>
  <si>
    <t>100.000.000,00 динара.из капиталних трансфера од нивоа републике (Извор 07)  100.000.000,00 динара</t>
  </si>
  <si>
    <t xml:space="preserve">     Мења се члан 7. Одлуке о буџету општине Владимирци за 2018. годину бр. 400-62/18-I од 21.12.2018. године и гласи:</t>
  </si>
  <si>
    <t xml:space="preserve">      Мења се члан 8. Одлуке о буџету општине Владимирци за 2019. годину бр. 400-62/18-I од 21.12.2018. године</t>
  </si>
  <si>
    <t xml:space="preserve">     Мења се члан 9.  Одлуке о буџету општине Владимирци за 2019. годину бр. 400-62/18-I од 21.12.2018. године и гласи:</t>
  </si>
  <si>
    <t>Члан 10.</t>
  </si>
  <si>
    <t>Члан 11.</t>
  </si>
  <si>
    <t xml:space="preserve">     Мења се члан 10. Одлуке о буџету општине Владимирци за 2019. годину бр. 400-62/18-I од 21.12.2018. године</t>
  </si>
  <si>
    <t xml:space="preserve">     Остале одредбе Одлуке о буџету општине Владимирци за 2019. годину бр. 400-62/18-I од 21.12.2018. године</t>
  </si>
  <si>
    <t xml:space="preserve">     У плану буџета за 2019. годину утврђен је буџетски дефицит у износу од 15.368.300,29</t>
  </si>
  <si>
    <t xml:space="preserve">     Потребна средства за финансирање укупног фискалног дефицита из члана 2. ове одлуке у износу од 15.368.300,29 динара, обезбедиће се</t>
  </si>
  <si>
    <t>из нераспоређеног вишка прихода и примања из ранијих година у  износу од 1.608.508,29 динара, а остатак обезбедиће се од примања из</t>
  </si>
  <si>
    <t>3. Из наменских капиталних трансфера од нивоа Републике  (Извор 07) у износу од 47.254.118,39 динара</t>
  </si>
  <si>
    <t>Текући приходи и примања од продаје нефинансијске имовине у укупном износу од 505.396.649,20 динара</t>
  </si>
  <si>
    <t>Текући расходи и издаци за нефинансијску имовину у износу од 520.764.949,49 динара</t>
  </si>
  <si>
    <t xml:space="preserve">     Средства из буџета у износу од 417.859.748,81 динара, и средства  из осталих извора у износу од</t>
  </si>
  <si>
    <t>106.675.200,68 утврђени су и распоређени по функционалној класификацији и то:</t>
  </si>
  <si>
    <t xml:space="preserve">     Средства из буџета у износу од 417.859.748,81 динара, и средства  из осталих извора у износу од 106.675.200,68 динара утврђени су и распоређени</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</si>
  <si>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t>
  </si>
  <si>
    <t>Пројектна документација тротоара Владимирци</t>
  </si>
  <si>
    <t>Пројектна документ.тротоара Владимирци</t>
  </si>
  <si>
    <t>од 104.309.582,36 динара. По изворима финансирања средства се обезбеђују на следећи начин:</t>
  </si>
  <si>
    <t>1. Из текућих прихода буџета (Извор 01) у износу од 39.076.124,81 динара</t>
  </si>
  <si>
    <t>О ЧЕТВРТОМ РЕБАЛАНСУ БУЏЕТА ОПШТИНЕ ВЛАДИМИРЦИ ЗА 2019. ГОДИНУ</t>
  </si>
  <si>
    <t>106.675.200,68 утврђени су и распоређени по програмској класификацији и то:</t>
  </si>
  <si>
    <t>Закона о локалној самоуправи (,,Сл.гласник РС", бр. 129/07, 83/14, 101/16 и 47/18) и чл. 40. став 1. тачка 2. Статута општине Владимирци</t>
  </si>
  <si>
    <t>(,,Сл. Лист града Шапца и општина Богатић, Владимирци и Коцељева"бр. 6/19),  Скупштина општине Владимирци на седници одржаној</t>
  </si>
  <si>
    <t>дана: 18.10.2019 , донела је</t>
  </si>
  <si>
    <t>Број : _____________ од 18.10.2019. године</t>
  </si>
  <si>
    <t>Политички субјект</t>
  </si>
  <si>
    <t>Проценат расподеле</t>
  </si>
  <si>
    <t>Износ 0,105% порески прихода</t>
  </si>
  <si>
    <t>СНС</t>
  </si>
  <si>
    <t>ДС</t>
  </si>
  <si>
    <t>СПС</t>
  </si>
  <si>
    <t>ЈС</t>
  </si>
  <si>
    <t>ЈАНКО ЂУРИЋ</t>
  </si>
  <si>
    <t>Износ за расподелу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</si>
</sst>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_-* #,##0.00\ _D_i_n_._-;\-* #,##0.00\ _D_i_n_._-;_-* \-??\ _D_i_n_._-;_-@_-"/>
    <numFmt numFmtId="170" formatCode="#,##0_ ;\-#,##0\ "/>
    <numFmt numFmtId="171" formatCode="#,##0.00_ ;\-#,##0.00\ "/>
    <numFmt numFmtId="172" formatCode="#,##0.00\ _R_S_D"/>
  </numFmts>
  <fonts count="86" x14ac:knownFonts="1">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sz val="10"/>
      <name val="Arial"/>
      <family val="2"/>
      <charset val="238"/>
    </font>
    <font>
      <sz val="10"/>
      <name val="Times New Roman"/>
      <family val="1"/>
      <charset val="238"/>
    </font>
    <font>
      <b/>
      <sz val="11"/>
      <name val="Times New Roman"/>
      <family val="1"/>
    </font>
    <font>
      <b/>
      <sz val="9"/>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b/>
      <sz val="8"/>
      <color indexed="8"/>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b/>
      <sz val="10"/>
      <color theme="1"/>
      <name val="Times New Roman"/>
      <family val="1"/>
    </font>
    <font>
      <b/>
      <sz val="11"/>
      <color theme="1"/>
      <name val="Times New Roman"/>
      <family val="1"/>
      <charset val="238"/>
    </font>
    <font>
      <sz val="11"/>
      <color theme="1"/>
      <name val="Times New Roman"/>
      <family val="1"/>
      <charset val="238"/>
    </font>
    <font>
      <b/>
      <sz val="8"/>
      <name val="Times New Roman"/>
      <family val="1"/>
      <charset val="238"/>
    </font>
    <font>
      <sz val="9"/>
      <color theme="1"/>
      <name val="Times New Roman"/>
      <family val="1"/>
    </font>
    <font>
      <sz val="8"/>
      <name val="Times New Roman"/>
      <family val="1"/>
      <charset val="238"/>
    </font>
    <font>
      <b/>
      <sz val="10"/>
      <color theme="1"/>
      <name val="Times New Roman"/>
      <family val="1"/>
      <charset val="238"/>
    </font>
    <font>
      <sz val="10"/>
      <color rgb="FFFF0000"/>
      <name val="Times New Roman"/>
      <family val="1"/>
    </font>
    <font>
      <b/>
      <sz val="8"/>
      <color theme="1"/>
      <name val="Times New Roman"/>
      <family val="1"/>
      <charset val="238"/>
    </font>
    <font>
      <sz val="12"/>
      <color theme="1"/>
      <name val="Times New Roman"/>
      <family val="1"/>
    </font>
    <font>
      <b/>
      <i/>
      <sz val="11"/>
      <color theme="1"/>
      <name val="Times New Roman"/>
      <family val="1"/>
    </font>
    <font>
      <b/>
      <sz val="11"/>
      <color theme="1"/>
      <name val="Calibri"/>
      <family val="2"/>
      <charset val="238"/>
      <scheme val="minor"/>
    </font>
    <font>
      <sz val="10"/>
      <color theme="1"/>
      <name val="Times New Roman"/>
      <family val="1"/>
      <charset val="238"/>
    </font>
    <font>
      <sz val="10"/>
      <color indexed="8"/>
      <name val="Times New Roman"/>
      <family val="1"/>
      <charset val="238"/>
    </font>
    <font>
      <b/>
      <i/>
      <sz val="11"/>
      <color theme="1"/>
      <name val="Calibri"/>
      <family val="2"/>
      <charset val="238"/>
      <scheme val="minor"/>
    </font>
    <font>
      <b/>
      <sz val="12"/>
      <color theme="1"/>
      <name val="Times New Roman"/>
      <family val="1"/>
    </font>
    <font>
      <sz val="11"/>
      <color rgb="FFFF0000"/>
      <name val="Calibri"/>
      <family val="2"/>
      <charset val="238"/>
      <scheme val="minor"/>
    </font>
    <font>
      <sz val="9"/>
      <name val="Times New Roman"/>
      <family val="1"/>
      <charset val="238"/>
    </font>
    <font>
      <b/>
      <sz val="9"/>
      <color theme="1"/>
      <name val="Times New Roman"/>
      <family val="1"/>
    </font>
    <font>
      <b/>
      <i/>
      <sz val="11"/>
      <color theme="1"/>
      <name val="Times New Roman"/>
      <family val="1"/>
      <charset val="238"/>
    </font>
    <font>
      <b/>
      <sz val="16"/>
      <color theme="1"/>
      <name val="Times New Roman"/>
      <family val="1"/>
      <charset val="238"/>
    </font>
    <font>
      <sz val="11"/>
      <name val="Calibri"/>
      <family val="2"/>
      <charset val="238"/>
      <scheme val="minor"/>
    </font>
    <font>
      <b/>
      <sz val="11"/>
      <color rgb="FFFF0000"/>
      <name val="Calibri"/>
      <family val="2"/>
      <charset val="238"/>
      <scheme val="minor"/>
    </font>
    <font>
      <i/>
      <sz val="11"/>
      <color theme="1"/>
      <name val="Times New Roman"/>
      <family val="1"/>
    </font>
    <font>
      <b/>
      <sz val="12"/>
      <color theme="1"/>
      <name val="Times New Roman"/>
      <family val="1"/>
      <charset val="238"/>
    </font>
    <font>
      <i/>
      <sz val="10"/>
      <color theme="1"/>
      <name val="Times New Roman"/>
      <family val="1"/>
    </font>
    <font>
      <b/>
      <i/>
      <u/>
      <sz val="11"/>
      <color theme="1"/>
      <name val="Times New Roman"/>
      <family val="1"/>
    </font>
    <font>
      <b/>
      <i/>
      <u/>
      <sz val="11"/>
      <color theme="1"/>
      <name val="Times New Roman"/>
      <family val="1"/>
      <charset val="238"/>
    </font>
    <font>
      <sz val="11"/>
      <color rgb="FFFF0000"/>
      <name val="Times New Roman"/>
      <family val="1"/>
    </font>
    <font>
      <b/>
      <sz val="11"/>
      <color rgb="FF00B050"/>
      <name val="Times New Roman"/>
      <family val="1"/>
      <charset val="238"/>
    </font>
    <font>
      <b/>
      <sz val="11"/>
      <color rgb="FFFF0000"/>
      <name val="Times New Roman"/>
      <family val="1"/>
      <charset val="238"/>
    </font>
    <font>
      <b/>
      <sz val="11"/>
      <color rgb="FF00B050"/>
      <name val="Calibri"/>
      <family val="2"/>
      <charset val="238"/>
      <scheme val="minor"/>
    </font>
    <font>
      <sz val="11"/>
      <color rgb="FF000000"/>
      <name val="Times New Roman"/>
      <family val="1"/>
      <charset val="238"/>
    </font>
  </fonts>
  <fills count="4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22"/>
        <bgColor indexed="64"/>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50"/>
        <bgColor indexed="64"/>
      </patternFill>
    </fill>
    <fill>
      <patternFill patternType="solid">
        <fgColor theme="0"/>
        <bgColor indexed="26"/>
      </patternFill>
    </fill>
    <fill>
      <patternFill patternType="solid">
        <fgColor theme="0" tint="-0.249977111117893"/>
        <bgColor indexed="31"/>
      </patternFill>
    </fill>
    <fill>
      <patternFill patternType="solid">
        <fgColor theme="0" tint="-0.249977111117893"/>
        <bgColor indexed="41"/>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C00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auto="1"/>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style="hair">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hair">
        <color indexed="8"/>
      </top>
      <bottom style="hair">
        <color indexed="8"/>
      </bottom>
      <diagonal/>
    </border>
    <border>
      <left style="thin">
        <color indexed="8"/>
      </left>
      <right style="thin">
        <color indexed="64"/>
      </right>
      <top style="hair">
        <color indexed="8"/>
      </top>
      <bottom style="thin">
        <color indexed="64"/>
      </bottom>
      <diagonal/>
    </border>
    <border>
      <left style="thin">
        <color indexed="64"/>
      </left>
      <right style="thin">
        <color indexed="64"/>
      </right>
      <top style="thin">
        <color indexed="64"/>
      </top>
      <bottom style="hair">
        <color auto="1"/>
      </bottom>
      <diagonal/>
    </border>
    <border>
      <left/>
      <right style="thin">
        <color indexed="64"/>
      </right>
      <top/>
      <bottom/>
      <diagonal/>
    </border>
    <border>
      <left style="thin">
        <color indexed="64"/>
      </left>
      <right style="thin">
        <color indexed="64"/>
      </right>
      <top style="hair">
        <color auto="1"/>
      </top>
      <bottom style="hair">
        <color auto="1"/>
      </bottom>
      <diagonal/>
    </border>
    <border>
      <left/>
      <right/>
      <top style="hair">
        <color indexed="8"/>
      </top>
      <bottom style="hair">
        <color indexed="8"/>
      </bottom>
      <diagonal/>
    </border>
    <border>
      <left/>
      <right/>
      <top style="thin">
        <color indexed="64"/>
      </top>
      <bottom style="thin">
        <color indexed="8"/>
      </bottom>
      <diagonal/>
    </border>
    <border>
      <left style="thin">
        <color indexed="8"/>
      </left>
      <right style="thin">
        <color indexed="64"/>
      </right>
      <top style="thin">
        <color indexed="64"/>
      </top>
      <bottom style="hair">
        <color indexed="8"/>
      </bottom>
      <diagonal/>
    </border>
    <border>
      <left style="thin">
        <color indexed="8"/>
      </left>
      <right style="thin">
        <color indexed="64"/>
      </right>
      <top style="hair">
        <color indexed="8"/>
      </top>
      <bottom/>
      <diagonal/>
    </border>
    <border>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2">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4" fillId="0" borderId="0"/>
    <xf numFmtId="164" fontId="30" fillId="0" borderId="0" applyFont="0" applyFill="0" applyBorder="0" applyAlignment="0" applyProtection="0"/>
    <xf numFmtId="0" fontId="30" fillId="0" borderId="0"/>
    <xf numFmtId="0" fontId="7" fillId="20" borderId="25" applyNumberFormat="0" applyAlignment="0" applyProtection="0"/>
    <xf numFmtId="0" fontId="14" fillId="7" borderId="25" applyNumberFormat="0" applyAlignment="0" applyProtection="0"/>
    <xf numFmtId="0" fontId="3" fillId="23" borderId="26" applyNumberFormat="0" applyAlignment="0" applyProtection="0"/>
    <xf numFmtId="0" fontId="17" fillId="20" borderId="27" applyNumberFormat="0" applyAlignment="0" applyProtection="0"/>
    <xf numFmtId="0" fontId="19" fillId="0" borderId="28" applyNumberFormat="0" applyFill="0" applyAlignment="0" applyProtection="0"/>
    <xf numFmtId="0" fontId="7" fillId="20" borderId="37" applyNumberFormat="0" applyAlignment="0" applyProtection="0"/>
    <xf numFmtId="0" fontId="14" fillId="7" borderId="37" applyNumberFormat="0" applyAlignment="0" applyProtection="0"/>
    <xf numFmtId="0" fontId="3" fillId="23" borderId="38" applyNumberFormat="0" applyAlignment="0" applyProtection="0"/>
    <xf numFmtId="0" fontId="17" fillId="20" borderId="39" applyNumberFormat="0" applyAlignment="0" applyProtection="0"/>
    <xf numFmtId="0" fontId="19" fillId="0" borderId="40" applyNumberFormat="0" applyFill="0" applyAlignment="0" applyProtection="0"/>
  </cellStyleXfs>
  <cellXfs count="1225">
    <xf numFmtId="0" fontId="0" fillId="0" borderId="0" xfId="0"/>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1" fillId="0" borderId="0" xfId="0" applyFont="1"/>
    <xf numFmtId="0" fontId="45" fillId="0" borderId="17" xfId="0" applyFont="1" applyFill="1" applyBorder="1" applyAlignment="1" applyProtection="1">
      <alignment horizontal="center" vertical="top"/>
    </xf>
    <xf numFmtId="0" fontId="46" fillId="0" borderId="17" xfId="0" applyFont="1" applyBorder="1" applyAlignment="1">
      <alignment horizontal="center" vertical="center"/>
    </xf>
    <xf numFmtId="49" fontId="38" fillId="0" borderId="22" xfId="0" applyNumberFormat="1" applyFont="1" applyFill="1" applyBorder="1" applyAlignment="1">
      <alignment horizontal="center" vertical="center"/>
    </xf>
    <xf numFmtId="49" fontId="40" fillId="20" borderId="22" xfId="0" applyNumberFormat="1" applyFont="1" applyFill="1" applyBorder="1" applyAlignment="1">
      <alignment horizontal="left" vertical="center"/>
    </xf>
    <xf numFmtId="0" fontId="38" fillId="0" borderId="22" xfId="0" applyFont="1" applyFill="1" applyBorder="1" applyAlignment="1">
      <alignment horizontal="left" vertical="center" wrapText="1"/>
    </xf>
    <xf numFmtId="49" fontId="40" fillId="20" borderId="22" xfId="0" applyNumberFormat="1" applyFont="1" applyFill="1" applyBorder="1" applyAlignment="1">
      <alignment horizontal="left"/>
    </xf>
    <xf numFmtId="0" fontId="40" fillId="20" borderId="22" xfId="0" applyFont="1" applyFill="1" applyBorder="1" applyAlignment="1">
      <alignment horizontal="left" wrapText="1"/>
    </xf>
    <xf numFmtId="49" fontId="38" fillId="0" borderId="22" xfId="0" applyNumberFormat="1" applyFont="1" applyFill="1" applyBorder="1" applyAlignment="1">
      <alignment horizontal="center"/>
    </xf>
    <xf numFmtId="0" fontId="38" fillId="0" borderId="22" xfId="0" applyFont="1" applyFill="1" applyBorder="1" applyAlignment="1">
      <alignment horizontal="left" wrapText="1"/>
    </xf>
    <xf numFmtId="49" fontId="38" fillId="0" borderId="22" xfId="0" applyNumberFormat="1" applyFont="1" applyFill="1" applyBorder="1" applyAlignment="1">
      <alignment horizontal="right"/>
    </xf>
    <xf numFmtId="0" fontId="47" fillId="20" borderId="22" xfId="0" applyFont="1" applyFill="1" applyBorder="1" applyAlignment="1">
      <alignment wrapText="1"/>
    </xf>
    <xf numFmtId="0" fontId="48" fillId="0" borderId="22" xfId="0" applyFont="1" applyFill="1" applyBorder="1" applyAlignment="1">
      <alignment wrapText="1"/>
    </xf>
    <xf numFmtId="49" fontId="38" fillId="0" borderId="22" xfId="0" applyNumberFormat="1" applyFont="1" applyFill="1" applyBorder="1" applyAlignment="1">
      <alignment horizontal="right" vertical="center"/>
    </xf>
    <xf numFmtId="49" fontId="40" fillId="27" borderId="22" xfId="0" applyNumberFormat="1" applyFont="1" applyFill="1" applyBorder="1" applyAlignment="1">
      <alignment horizontal="left"/>
    </xf>
    <xf numFmtId="0" fontId="47" fillId="27" borderId="22" xfId="0" applyFont="1" applyFill="1" applyBorder="1" applyAlignment="1">
      <alignment wrapText="1"/>
    </xf>
    <xf numFmtId="0" fontId="40" fillId="25" borderId="22" xfId="0" applyFont="1" applyFill="1" applyBorder="1" applyAlignment="1">
      <alignment horizontal="left"/>
    </xf>
    <xf numFmtId="0" fontId="47" fillId="25" borderId="22" xfId="0" applyFont="1" applyFill="1" applyBorder="1" applyAlignment="1">
      <alignment wrapText="1"/>
    </xf>
    <xf numFmtId="49" fontId="40" fillId="20" borderId="22" xfId="0" applyNumberFormat="1" applyFont="1" applyFill="1" applyBorder="1" applyAlignment="1">
      <alignment horizontal="left" vertical="center" wrapText="1"/>
    </xf>
    <xf numFmtId="49" fontId="38" fillId="0" borderId="22" xfId="0" applyNumberFormat="1" applyFont="1" applyFill="1" applyBorder="1" applyAlignment="1">
      <alignment horizontal="center" vertical="center" wrapText="1"/>
    </xf>
    <xf numFmtId="49" fontId="38" fillId="0" borderId="0" xfId="0" applyNumberFormat="1" applyFont="1" applyBorder="1" applyAlignment="1">
      <alignment horizontal="center" vertical="center" wrapText="1"/>
    </xf>
    <xf numFmtId="0" fontId="38" fillId="0" borderId="0" xfId="0" applyFont="1" applyBorder="1" applyAlignment="1">
      <alignment horizontal="left" vertical="center" wrapText="1"/>
    </xf>
    <xf numFmtId="169" fontId="38" fillId="0" borderId="0" xfId="29" applyNumberFormat="1" applyFont="1" applyFill="1" applyBorder="1" applyAlignment="1" applyProtection="1">
      <alignment horizontal="right" vertical="center" wrapText="1"/>
    </xf>
    <xf numFmtId="0" fontId="40" fillId="0" borderId="0" xfId="0" applyFont="1"/>
    <xf numFmtId="0" fontId="40" fillId="0" borderId="0" xfId="0" applyFont="1" applyAlignment="1">
      <alignment horizontal="left"/>
    </xf>
    <xf numFmtId="49" fontId="40" fillId="6" borderId="0" xfId="0" applyNumberFormat="1" applyFont="1" applyFill="1" applyBorder="1" applyAlignment="1">
      <alignment horizontal="center" vertical="center" wrapText="1"/>
    </xf>
    <xf numFmtId="49" fontId="40" fillId="20" borderId="0" xfId="0" applyNumberFormat="1" applyFont="1" applyFill="1" applyBorder="1" applyAlignment="1">
      <alignment horizontal="center"/>
    </xf>
    <xf numFmtId="0" fontId="40" fillId="20" borderId="0" xfId="0" applyFont="1" applyFill="1" applyBorder="1" applyAlignment="1">
      <alignment horizontal="left"/>
    </xf>
    <xf numFmtId="49" fontId="38" fillId="0" borderId="0" xfId="0" applyNumberFormat="1" applyFont="1" applyFill="1" applyBorder="1" applyAlignment="1">
      <alignment horizontal="center"/>
    </xf>
    <xf numFmtId="0" fontId="38" fillId="0" borderId="0" xfId="0" applyFont="1" applyFill="1" applyBorder="1" applyAlignment="1">
      <alignment horizontal="left"/>
    </xf>
    <xf numFmtId="0" fontId="38" fillId="0" borderId="0" xfId="0" applyNumberFormat="1" applyFont="1" applyFill="1" applyBorder="1" applyAlignment="1">
      <alignment horizontal="center"/>
    </xf>
    <xf numFmtId="0" fontId="38" fillId="0" borderId="0" xfId="0" applyFont="1" applyFill="1" applyAlignment="1">
      <alignment horizontal="center" vertical="center"/>
    </xf>
    <xf numFmtId="0" fontId="38" fillId="0" borderId="0" xfId="0" applyFont="1" applyFill="1"/>
    <xf numFmtId="0" fontId="49" fillId="0" borderId="0" xfId="0" applyFont="1"/>
    <xf numFmtId="1" fontId="38" fillId="0" borderId="0" xfId="0" applyNumberFormat="1" applyFont="1" applyFill="1" applyAlignment="1">
      <alignment horizontal="center" vertical="center" wrapText="1"/>
    </xf>
    <xf numFmtId="0" fontId="48" fillId="0" borderId="0" xfId="0" applyFont="1" applyFill="1" applyAlignment="1">
      <alignment horizontal="left" vertical="center" wrapText="1"/>
    </xf>
    <xf numFmtId="0" fontId="40" fillId="20" borderId="0" xfId="0" applyFont="1" applyFill="1" applyBorder="1" applyAlignment="1">
      <alignment horizontal="center"/>
    </xf>
    <xf numFmtId="0" fontId="40" fillId="20" borderId="0" xfId="0" applyFont="1" applyFill="1" applyBorder="1" applyAlignment="1">
      <alignment horizontal="justify"/>
    </xf>
    <xf numFmtId="0" fontId="38" fillId="0" borderId="0" xfId="0" applyFont="1" applyFill="1" applyBorder="1" applyAlignment="1">
      <alignment horizontal="center"/>
    </xf>
    <xf numFmtId="0" fontId="38" fillId="0" borderId="0" xfId="0" applyFont="1" applyFill="1" applyBorder="1" applyAlignment="1">
      <alignment horizontal="justify"/>
    </xf>
    <xf numFmtId="0" fontId="48" fillId="0" borderId="0" xfId="0" applyFont="1" applyFill="1" applyAlignment="1">
      <alignment horizontal="justify" vertical="center" wrapText="1"/>
    </xf>
    <xf numFmtId="0" fontId="48" fillId="0" borderId="0" xfId="0" applyFont="1" applyFill="1" applyAlignment="1">
      <alignment vertical="center" wrapText="1"/>
    </xf>
    <xf numFmtId="1" fontId="40" fillId="20" borderId="0" xfId="0" applyNumberFormat="1" applyFont="1" applyFill="1" applyAlignment="1">
      <alignment horizontal="center" vertical="center" wrapText="1"/>
    </xf>
    <xf numFmtId="0" fontId="40" fillId="20" borderId="0" xfId="0" applyFont="1" applyFill="1" applyAlignment="1">
      <alignment vertical="center" wrapText="1"/>
    </xf>
    <xf numFmtId="0" fontId="38" fillId="0" borderId="0" xfId="0" applyFont="1" applyFill="1" applyAlignment="1">
      <alignment wrapText="1"/>
    </xf>
    <xf numFmtId="49" fontId="38" fillId="0" borderId="0" xfId="0" applyNumberFormat="1" applyFont="1" applyBorder="1" applyAlignment="1">
      <alignment horizontal="center"/>
    </xf>
    <xf numFmtId="0" fontId="38" fillId="0" borderId="0" xfId="0" applyFont="1" applyBorder="1" applyAlignment="1">
      <alignment horizontal="left"/>
    </xf>
    <xf numFmtId="0" fontId="40" fillId="4" borderId="0" xfId="0" applyFont="1" applyFill="1"/>
    <xf numFmtId="49" fontId="40" fillId="4" borderId="0" xfId="0" applyNumberFormat="1" applyFont="1" applyFill="1" applyBorder="1" applyAlignment="1">
      <alignment vertical="center" wrapText="1"/>
    </xf>
    <xf numFmtId="0" fontId="38" fillId="0" borderId="0" xfId="0" applyFont="1"/>
    <xf numFmtId="0" fontId="52" fillId="0" borderId="17" xfId="0" applyFont="1" applyBorder="1" applyAlignment="1">
      <alignment vertical="center" wrapText="1"/>
    </xf>
    <xf numFmtId="0" fontId="52" fillId="0" borderId="17" xfId="0" applyFont="1" applyFill="1" applyBorder="1" applyAlignment="1">
      <alignment vertical="center" wrapText="1"/>
    </xf>
    <xf numFmtId="49" fontId="52" fillId="0" borderId="17" xfId="0" applyNumberFormat="1" applyFont="1" applyFill="1" applyBorder="1" applyAlignment="1">
      <alignment horizontal="center" vertical="center" wrapText="1"/>
    </xf>
    <xf numFmtId="49" fontId="52" fillId="0" borderId="17" xfId="0" applyNumberFormat="1" applyFont="1" applyFill="1" applyBorder="1" applyAlignment="1">
      <alignment vertical="center" wrapText="1"/>
    </xf>
    <xf numFmtId="49" fontId="37" fillId="0" borderId="17" xfId="0" applyNumberFormat="1" applyFont="1" applyFill="1" applyBorder="1" applyAlignment="1">
      <alignment horizontal="center" vertical="center" wrapText="1"/>
    </xf>
    <xf numFmtId="0" fontId="52" fillId="0" borderId="17" xfId="0" applyFont="1" applyBorder="1" applyAlignment="1">
      <alignment horizontal="center"/>
    </xf>
    <xf numFmtId="0" fontId="52" fillId="0" borderId="17" xfId="0" applyFont="1" applyBorder="1"/>
    <xf numFmtId="49" fontId="37" fillId="26" borderId="17" xfId="0" applyNumberFormat="1" applyFont="1" applyFill="1" applyBorder="1" applyAlignment="1">
      <alignment horizontal="center" vertical="center" wrapText="1"/>
    </xf>
    <xf numFmtId="49" fontId="52" fillId="26" borderId="17" xfId="0" applyNumberFormat="1" applyFont="1" applyFill="1" applyBorder="1" applyAlignment="1">
      <alignment horizontal="center" vertical="center" wrapText="1"/>
    </xf>
    <xf numFmtId="49" fontId="37" fillId="26" borderId="17" xfId="0" applyNumberFormat="1" applyFont="1" applyFill="1" applyBorder="1" applyAlignment="1">
      <alignment vertical="center" wrapText="1"/>
    </xf>
    <xf numFmtId="49" fontId="37" fillId="20" borderId="17" xfId="0" applyNumberFormat="1" applyFont="1" applyFill="1" applyBorder="1" applyAlignment="1">
      <alignment horizontal="left" vertical="center" wrapText="1"/>
    </xf>
    <xf numFmtId="0" fontId="37" fillId="26" borderId="17" xfId="0" applyFont="1" applyFill="1" applyBorder="1" applyAlignment="1">
      <alignment horizontal="center" vertical="center" wrapText="1"/>
    </xf>
    <xf numFmtId="0" fontId="37" fillId="26" borderId="17" xfId="0" applyFont="1" applyFill="1" applyBorder="1" applyAlignment="1">
      <alignment horizontal="center" vertical="top" wrapText="1"/>
    </xf>
    <xf numFmtId="0" fontId="37" fillId="26" borderId="17" xfId="0" applyFont="1" applyFill="1" applyBorder="1" applyAlignment="1">
      <alignment wrapText="1"/>
    </xf>
    <xf numFmtId="0" fontId="52" fillId="20" borderId="17" xfId="0" applyFont="1" applyFill="1" applyBorder="1"/>
    <xf numFmtId="0" fontId="39" fillId="0" borderId="0" xfId="0" applyFont="1" applyAlignment="1">
      <alignment horizontal="center"/>
    </xf>
    <xf numFmtId="0" fontId="39" fillId="0" borderId="0" xfId="0" applyFont="1" applyAlignment="1">
      <alignment vertical="center" wrapText="1"/>
    </xf>
    <xf numFmtId="165" fontId="39" fillId="28" borderId="0" xfId="0" applyNumberFormat="1" applyFont="1" applyFill="1" applyAlignment="1">
      <alignment horizontal="right"/>
    </xf>
    <xf numFmtId="0" fontId="23" fillId="0" borderId="23" xfId="1" applyFont="1" applyFill="1" applyBorder="1" applyAlignment="1">
      <alignment horizontal="center" vertical="center" wrapText="1"/>
    </xf>
    <xf numFmtId="0" fontId="38" fillId="0" borderId="24" xfId="0" applyFont="1" applyFill="1" applyBorder="1" applyAlignment="1">
      <alignment horizontal="center" vertical="center" wrapText="1"/>
    </xf>
    <xf numFmtId="0" fontId="45" fillId="0" borderId="19" xfId="0" applyFont="1" applyFill="1" applyBorder="1" applyAlignment="1" applyProtection="1">
      <alignment horizontal="center" vertical="top"/>
    </xf>
    <xf numFmtId="0" fontId="46" fillId="0" borderId="19" xfId="0" applyFont="1" applyBorder="1" applyAlignment="1">
      <alignment horizontal="center" vertical="center"/>
    </xf>
    <xf numFmtId="0" fontId="40" fillId="30" borderId="0" xfId="0" applyFont="1" applyFill="1" applyBorder="1" applyAlignment="1">
      <alignment horizontal="left" vertical="center"/>
    </xf>
    <xf numFmtId="49" fontId="40" fillId="30" borderId="0" xfId="0" applyNumberFormat="1" applyFont="1" applyFill="1" applyBorder="1" applyAlignment="1">
      <alignment horizontal="center" vertical="center"/>
    </xf>
    <xf numFmtId="49" fontId="40" fillId="30" borderId="0" xfId="0" applyNumberFormat="1" applyFont="1" applyFill="1" applyBorder="1" applyAlignment="1">
      <alignment horizontal="center"/>
    </xf>
    <xf numFmtId="0" fontId="40" fillId="30" borderId="0" xfId="0" applyFont="1" applyFill="1" applyBorder="1" applyAlignment="1">
      <alignment horizontal="left"/>
    </xf>
    <xf numFmtId="0" fontId="52" fillId="32" borderId="17" xfId="0" applyFont="1" applyFill="1" applyBorder="1" applyAlignment="1">
      <alignment horizontal="center" vertical="center" wrapText="1"/>
    </xf>
    <xf numFmtId="49" fontId="52" fillId="32" borderId="17" xfId="0" applyNumberFormat="1" applyFont="1" applyFill="1" applyBorder="1" applyAlignment="1">
      <alignment horizontal="center" vertical="center" wrapText="1"/>
    </xf>
    <xf numFmtId="49" fontId="52" fillId="33" borderId="17" xfId="0" applyNumberFormat="1" applyFont="1" applyFill="1" applyBorder="1" applyAlignment="1">
      <alignment horizontal="center" vertical="center" wrapText="1"/>
    </xf>
    <xf numFmtId="0" fontId="41" fillId="0" borderId="11" xfId="0" applyFont="1" applyBorder="1" applyAlignment="1">
      <alignment horizontal="center" vertical="center" wrapText="1"/>
    </xf>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29" borderId="10" xfId="1" applyNumberFormat="1" applyFont="1" applyFill="1" applyBorder="1" applyAlignment="1">
      <alignment horizontal="center" vertical="center"/>
    </xf>
    <xf numFmtId="0" fontId="1" fillId="29" borderId="10" xfId="1" applyFont="1" applyFill="1" applyBorder="1" applyAlignment="1">
      <alignment horizontal="center" vertical="center" wrapText="1"/>
    </xf>
    <xf numFmtId="49" fontId="38" fillId="0" borderId="24" xfId="0" applyNumberFormat="1" applyFont="1" applyFill="1" applyBorder="1" applyAlignment="1">
      <alignment horizontal="center" vertical="center"/>
    </xf>
    <xf numFmtId="49" fontId="40" fillId="6" borderId="11" xfId="0" applyNumberFormat="1" applyFont="1" applyFill="1" applyBorder="1" applyAlignment="1">
      <alignment horizontal="center" vertical="center" wrapText="1"/>
    </xf>
    <xf numFmtId="0" fontId="40" fillId="6" borderId="11" xfId="0" applyFont="1" applyFill="1" applyBorder="1" applyAlignment="1">
      <alignment horizontal="center" vertical="center" wrapText="1" shrinkToFit="1"/>
    </xf>
    <xf numFmtId="0" fontId="46" fillId="0" borderId="0" xfId="0" applyFont="1"/>
    <xf numFmtId="0" fontId="39" fillId="6" borderId="11" xfId="1" applyFont="1" applyFill="1" applyBorder="1" applyAlignment="1">
      <alignment horizontal="center" vertical="center" wrapText="1"/>
    </xf>
    <xf numFmtId="49" fontId="53" fillId="29" borderId="11" xfId="0" applyNumberFormat="1" applyFont="1" applyFill="1" applyBorder="1" applyAlignment="1" applyProtection="1">
      <alignment horizontal="center" vertical="top"/>
    </xf>
    <xf numFmtId="49" fontId="53" fillId="29" borderId="11" xfId="0" applyNumberFormat="1" applyFont="1" applyFill="1" applyBorder="1" applyAlignment="1" applyProtection="1">
      <alignment horizontal="left" vertical="top"/>
    </xf>
    <xf numFmtId="0" fontId="46" fillId="0" borderId="19" xfId="0" applyFont="1" applyBorder="1" applyAlignment="1">
      <alignment horizontal="center"/>
    </xf>
    <xf numFmtId="0" fontId="46" fillId="0" borderId="19" xfId="0" applyFont="1" applyBorder="1"/>
    <xf numFmtId="0" fontId="46" fillId="0" borderId="17" xfId="0" applyFont="1" applyBorder="1" applyAlignment="1">
      <alignment horizontal="center"/>
    </xf>
    <xf numFmtId="0" fontId="46" fillId="0" borderId="17" xfId="0" applyFont="1" applyBorder="1"/>
    <xf numFmtId="0" fontId="46" fillId="0" borderId="36" xfId="0" applyFont="1" applyBorder="1" applyAlignment="1">
      <alignment horizontal="center"/>
    </xf>
    <xf numFmtId="0" fontId="53" fillId="0" borderId="0" xfId="0" applyFont="1"/>
    <xf numFmtId="49" fontId="46" fillId="0" borderId="19" xfId="0" applyNumberFormat="1" applyFont="1" applyBorder="1" applyAlignment="1" applyProtection="1">
      <alignment horizontal="center" vertical="center"/>
    </xf>
    <xf numFmtId="49" fontId="46" fillId="0" borderId="17" xfId="0" applyNumberFormat="1" applyFont="1" applyBorder="1" applyAlignment="1" applyProtection="1">
      <alignment horizontal="center" vertical="top"/>
    </xf>
    <xf numFmtId="49" fontId="46" fillId="0" borderId="36" xfId="0" applyNumberFormat="1" applyFont="1" applyBorder="1" applyAlignment="1" applyProtection="1">
      <alignment horizontal="center" vertical="top"/>
    </xf>
    <xf numFmtId="49" fontId="46" fillId="0" borderId="19" xfId="0" applyNumberFormat="1" applyFont="1" applyBorder="1" applyAlignment="1" applyProtection="1">
      <alignment horizontal="center" vertical="top"/>
    </xf>
    <xf numFmtId="49" fontId="46" fillId="0" borderId="17" xfId="0" applyNumberFormat="1" applyFont="1" applyBorder="1" applyAlignment="1" applyProtection="1">
      <alignment horizontal="center" vertical="center"/>
    </xf>
    <xf numFmtId="0" fontId="39" fillId="6" borderId="11" xfId="1" applyFont="1" applyFill="1" applyBorder="1" applyAlignment="1">
      <alignment horizontal="left" vertical="center" wrapText="1"/>
    </xf>
    <xf numFmtId="4" fontId="46" fillId="0" borderId="0" xfId="47" applyNumberFormat="1" applyFont="1"/>
    <xf numFmtId="0" fontId="46" fillId="0" borderId="18" xfId="0" applyFont="1" applyBorder="1" applyAlignment="1">
      <alignment horizontal="center"/>
    </xf>
    <xf numFmtId="49" fontId="2" fillId="0" borderId="41" xfId="1" applyNumberFormat="1" applyFont="1" applyFill="1" applyBorder="1" applyAlignment="1">
      <alignment horizontal="center" vertical="center"/>
    </xf>
    <xf numFmtId="0" fontId="2" fillId="0" borderId="41" xfId="1" applyNumberFormat="1" applyFont="1" applyFill="1" applyBorder="1" applyAlignment="1">
      <alignment horizontal="center" vertical="center"/>
    </xf>
    <xf numFmtId="0" fontId="1" fillId="29" borderId="10" xfId="1" applyNumberFormat="1" applyFont="1" applyFill="1" applyBorder="1" applyAlignment="1">
      <alignment horizontal="center" vertical="center"/>
    </xf>
    <xf numFmtId="4" fontId="46" fillId="0" borderId="17" xfId="47" applyNumberFormat="1" applyFont="1" applyFill="1" applyBorder="1" applyAlignment="1">
      <alignment vertical="center"/>
    </xf>
    <xf numFmtId="4" fontId="40" fillId="0" borderId="0" xfId="0" applyNumberFormat="1" applyFont="1" applyAlignment="1">
      <alignment horizontal="right" vertical="center" wrapText="1"/>
    </xf>
    <xf numFmtId="4" fontId="40" fillId="6" borderId="0" xfId="0" applyNumberFormat="1" applyFont="1" applyFill="1" applyBorder="1" applyAlignment="1">
      <alignment horizontal="center" vertical="center" wrapText="1" shrinkToFit="1"/>
    </xf>
    <xf numFmtId="4" fontId="40" fillId="20" borderId="0" xfId="48" applyNumberFormat="1" applyFont="1" applyFill="1" applyBorder="1" applyAlignment="1" applyProtection="1">
      <alignment horizontal="right" vertical="center" wrapText="1"/>
    </xf>
    <xf numFmtId="4" fontId="38" fillId="0" borderId="0" xfId="48" applyNumberFormat="1" applyFont="1" applyFill="1" applyBorder="1" applyAlignment="1" applyProtection="1">
      <alignment horizontal="right" vertical="center" wrapText="1"/>
    </xf>
    <xf numFmtId="4" fontId="38" fillId="0" borderId="0" xfId="48" applyNumberFormat="1" applyFont="1" applyFill="1" applyAlignment="1">
      <alignment horizontal="right" vertical="center" wrapText="1"/>
    </xf>
    <xf numFmtId="4" fontId="40" fillId="20" borderId="0" xfId="48" applyNumberFormat="1" applyFont="1" applyFill="1" applyAlignment="1">
      <alignment horizontal="right" vertical="center" wrapText="1"/>
    </xf>
    <xf numFmtId="4" fontId="38" fillId="20" borderId="0" xfId="48" applyNumberFormat="1" applyFont="1" applyFill="1" applyAlignment="1">
      <alignment horizontal="right" vertical="center" wrapText="1"/>
    </xf>
    <xf numFmtId="4" fontId="38" fillId="0" borderId="0" xfId="48" applyNumberFormat="1" applyFont="1" applyAlignment="1">
      <alignment horizontal="right" vertical="center" wrapText="1"/>
    </xf>
    <xf numFmtId="4" fontId="40" fillId="4" borderId="0" xfId="48" applyNumberFormat="1" applyFont="1" applyFill="1" applyBorder="1" applyAlignment="1" applyProtection="1">
      <alignment horizontal="right" vertical="center" wrapText="1"/>
    </xf>
    <xf numFmtId="4" fontId="38" fillId="0" borderId="0" xfId="0" applyNumberFormat="1" applyFont="1"/>
    <xf numFmtId="4" fontId="41" fillId="0" borderId="0" xfId="0" applyNumberFormat="1" applyFont="1"/>
    <xf numFmtId="0" fontId="41" fillId="28" borderId="0" xfId="0" applyFont="1" applyFill="1"/>
    <xf numFmtId="0" fontId="55" fillId="0" borderId="0" xfId="0" applyFont="1"/>
    <xf numFmtId="10" fontId="40" fillId="20" borderId="0" xfId="29" applyNumberFormat="1" applyFont="1" applyFill="1" applyBorder="1" applyAlignment="1" applyProtection="1">
      <alignment horizontal="right" vertical="center" wrapText="1"/>
    </xf>
    <xf numFmtId="10" fontId="38" fillId="0" borderId="0" xfId="29" applyNumberFormat="1" applyFont="1" applyFill="1" applyBorder="1" applyAlignment="1" applyProtection="1">
      <alignment horizontal="right" vertical="center" wrapText="1"/>
    </xf>
    <xf numFmtId="10" fontId="40" fillId="0" borderId="0" xfId="29" applyNumberFormat="1" applyFont="1" applyFill="1" applyBorder="1" applyAlignment="1" applyProtection="1">
      <alignment horizontal="right" vertical="center" wrapText="1"/>
    </xf>
    <xf numFmtId="10" fontId="40" fillId="30" borderId="0" xfId="29" applyNumberFormat="1" applyFont="1" applyFill="1" applyBorder="1" applyAlignment="1" applyProtection="1">
      <alignment horizontal="right" vertical="center" wrapText="1"/>
    </xf>
    <xf numFmtId="10" fontId="40" fillId="4" borderId="0" xfId="29" applyNumberFormat="1" applyFont="1" applyFill="1" applyBorder="1" applyAlignment="1" applyProtection="1">
      <alignment horizontal="right" vertical="center" wrapText="1"/>
    </xf>
    <xf numFmtId="10" fontId="40" fillId="20" borderId="0" xfId="48" applyNumberFormat="1" applyFont="1" applyFill="1" applyBorder="1" applyAlignment="1" applyProtection="1">
      <alignment horizontal="right" vertical="center" wrapText="1"/>
    </xf>
    <xf numFmtId="10" fontId="38" fillId="0" borderId="0" xfId="48" applyNumberFormat="1" applyFont="1" applyFill="1" applyBorder="1" applyAlignment="1" applyProtection="1">
      <alignment horizontal="right" vertical="center" wrapText="1"/>
    </xf>
    <xf numFmtId="10" fontId="38" fillId="30" borderId="0" xfId="48" applyNumberFormat="1" applyFont="1" applyFill="1" applyBorder="1" applyAlignment="1" applyProtection="1">
      <alignment horizontal="right" vertical="center" wrapText="1"/>
    </xf>
    <xf numFmtId="10" fontId="38" fillId="0" borderId="0" xfId="48" applyNumberFormat="1" applyFont="1" applyFill="1" applyAlignment="1">
      <alignment horizontal="right" vertical="center" wrapText="1"/>
    </xf>
    <xf numFmtId="10" fontId="40" fillId="20" borderId="0" xfId="48" applyNumberFormat="1" applyFont="1" applyFill="1" applyAlignment="1">
      <alignment horizontal="right" vertical="center" wrapText="1"/>
    </xf>
    <xf numFmtId="10" fontId="38" fillId="20" borderId="0" xfId="48" applyNumberFormat="1" applyFont="1" applyFill="1" applyAlignment="1">
      <alignment horizontal="right" vertical="center" wrapText="1"/>
    </xf>
    <xf numFmtId="10" fontId="38" fillId="0" borderId="0" xfId="48" applyNumberFormat="1" applyFont="1" applyAlignment="1">
      <alignment horizontal="right" vertical="center" wrapText="1"/>
    </xf>
    <xf numFmtId="10" fontId="40" fillId="4" borderId="0" xfId="48" applyNumberFormat="1" applyFont="1" applyFill="1" applyBorder="1" applyAlignment="1" applyProtection="1">
      <alignment horizontal="right" vertical="center" wrapText="1"/>
    </xf>
    <xf numFmtId="4" fontId="40" fillId="20" borderId="0" xfId="29" applyNumberFormat="1" applyFont="1" applyFill="1" applyBorder="1" applyAlignment="1" applyProtection="1">
      <alignment horizontal="right" vertical="center" wrapText="1"/>
    </xf>
    <xf numFmtId="4" fontId="38" fillId="0" borderId="0" xfId="29" applyNumberFormat="1" applyFont="1" applyFill="1" applyBorder="1" applyAlignment="1" applyProtection="1">
      <alignment horizontal="right" vertical="center" wrapText="1"/>
    </xf>
    <xf numFmtId="4" fontId="40" fillId="30" borderId="0" xfId="29" applyNumberFormat="1" applyFont="1" applyFill="1" applyBorder="1" applyAlignment="1" applyProtection="1">
      <alignment horizontal="right" vertical="center" wrapText="1"/>
    </xf>
    <xf numFmtId="4" fontId="40" fillId="20" borderId="0" xfId="47" applyNumberFormat="1" applyFont="1" applyFill="1" applyAlignment="1">
      <alignment horizontal="right" vertical="center" wrapText="1"/>
    </xf>
    <xf numFmtId="4" fontId="40" fillId="20" borderId="0" xfId="0" applyNumberFormat="1" applyFont="1" applyFill="1" applyAlignment="1">
      <alignment horizontal="right" vertical="center" wrapText="1"/>
    </xf>
    <xf numFmtId="4" fontId="40" fillId="4" borderId="0" xfId="0" applyNumberFormat="1" applyFont="1" applyFill="1" applyAlignment="1">
      <alignment horizontal="right" vertical="center" wrapText="1"/>
    </xf>
    <xf numFmtId="4" fontId="38" fillId="0" borderId="0" xfId="0" applyNumberFormat="1" applyFont="1" applyFill="1"/>
    <xf numFmtId="4" fontId="40" fillId="0" borderId="0" xfId="29" applyNumberFormat="1" applyFont="1" applyFill="1" applyBorder="1" applyAlignment="1" applyProtection="1">
      <alignment horizontal="right" vertical="center" wrapText="1"/>
    </xf>
    <xf numFmtId="4" fontId="40" fillId="4" borderId="0" xfId="29" applyNumberFormat="1" applyFont="1" applyFill="1" applyBorder="1" applyAlignment="1" applyProtection="1">
      <alignment horizontal="right" vertical="center" wrapText="1"/>
    </xf>
    <xf numFmtId="4" fontId="56" fillId="30" borderId="0" xfId="48" applyNumberFormat="1" applyFont="1" applyFill="1" applyBorder="1" applyAlignment="1" applyProtection="1">
      <alignment horizontal="right" vertical="center" wrapText="1"/>
    </xf>
    <xf numFmtId="4" fontId="56" fillId="30" borderId="0" xfId="0" applyNumberFormat="1" applyFont="1" applyFill="1" applyBorder="1" applyAlignment="1">
      <alignment horizontal="right" vertical="center" wrapText="1"/>
    </xf>
    <xf numFmtId="10" fontId="56" fillId="30" borderId="0" xfId="0" applyNumberFormat="1" applyFont="1" applyFill="1" applyBorder="1" applyAlignment="1">
      <alignment horizontal="right" vertical="center" wrapText="1"/>
    </xf>
    <xf numFmtId="10" fontId="40" fillId="0" borderId="0" xfId="0" applyNumberFormat="1" applyFont="1" applyAlignment="1">
      <alignment horizontal="right" vertical="center" wrapText="1"/>
    </xf>
    <xf numFmtId="10" fontId="40" fillId="6" borderId="0" xfId="0" applyNumberFormat="1" applyFont="1" applyFill="1" applyBorder="1" applyAlignment="1">
      <alignment horizontal="center" vertical="center" wrapText="1" shrinkToFit="1"/>
    </xf>
    <xf numFmtId="10" fontId="40" fillId="20" borderId="0" xfId="0" applyNumberFormat="1" applyFont="1" applyFill="1" applyAlignment="1">
      <alignment horizontal="right" vertical="center" wrapText="1"/>
    </xf>
    <xf numFmtId="10" fontId="40" fillId="4" borderId="0" xfId="0" applyNumberFormat="1" applyFont="1" applyFill="1" applyAlignment="1">
      <alignment horizontal="right" vertical="center" wrapText="1"/>
    </xf>
    <xf numFmtId="10" fontId="38" fillId="0" borderId="0" xfId="0" applyNumberFormat="1" applyFont="1" applyFill="1"/>
    <xf numFmtId="10" fontId="41" fillId="0" borderId="0" xfId="0" applyNumberFormat="1" applyFont="1"/>
    <xf numFmtId="1" fontId="38" fillId="0" borderId="0" xfId="0" applyNumberFormat="1" applyFont="1" applyBorder="1" applyAlignment="1">
      <alignment horizontal="center" vertical="center"/>
    </xf>
    <xf numFmtId="1" fontId="38" fillId="0" borderId="0" xfId="0" applyNumberFormat="1" applyFont="1" applyBorder="1" applyAlignment="1">
      <alignment horizontal="center" vertical="center" wrapText="1"/>
    </xf>
    <xf numFmtId="1" fontId="41" fillId="0" borderId="0" xfId="0" applyNumberFormat="1" applyFont="1"/>
    <xf numFmtId="1" fontId="57" fillId="0" borderId="0" xfId="0" applyNumberFormat="1" applyFont="1" applyAlignment="1">
      <alignment horizontal="center"/>
    </xf>
    <xf numFmtId="4" fontId="58" fillId="0" borderId="0" xfId="29" applyNumberFormat="1" applyFont="1" applyFill="1" applyBorder="1" applyAlignment="1" applyProtection="1">
      <alignment horizontal="right" vertical="center" wrapText="1"/>
    </xf>
    <xf numFmtId="4" fontId="53" fillId="29" borderId="11" xfId="47" applyNumberFormat="1" applyFont="1" applyFill="1" applyBorder="1" applyAlignment="1">
      <alignment vertical="center"/>
    </xf>
    <xf numFmtId="4" fontId="53" fillId="29" borderId="11" xfId="0" applyNumberFormat="1" applyFont="1" applyFill="1" applyBorder="1" applyAlignment="1">
      <alignment vertical="center"/>
    </xf>
    <xf numFmtId="4" fontId="46" fillId="0" borderId="19" xfId="47" applyNumberFormat="1" applyFont="1" applyBorder="1" applyAlignment="1">
      <alignment vertical="center"/>
    </xf>
    <xf numFmtId="4" fontId="46" fillId="0" borderId="19" xfId="0" applyNumberFormat="1" applyFont="1" applyBorder="1" applyAlignment="1">
      <alignment vertical="center"/>
    </xf>
    <xf numFmtId="4" fontId="46" fillId="0" borderId="17" xfId="47" applyNumberFormat="1" applyFont="1" applyBorder="1" applyAlignment="1">
      <alignment vertical="center"/>
    </xf>
    <xf numFmtId="4" fontId="46" fillId="0" borderId="17" xfId="0" applyNumberFormat="1" applyFont="1" applyBorder="1" applyAlignment="1">
      <alignment vertical="center"/>
    </xf>
    <xf numFmtId="4" fontId="45" fillId="0" borderId="17" xfId="47" applyNumberFormat="1" applyFont="1" applyFill="1" applyBorder="1" applyAlignment="1" applyProtection="1">
      <alignment vertical="center"/>
    </xf>
    <xf numFmtId="4" fontId="45" fillId="0" borderId="17" xfId="0" applyNumberFormat="1" applyFont="1" applyFill="1" applyBorder="1" applyAlignment="1" applyProtection="1">
      <alignment vertical="center"/>
    </xf>
    <xf numFmtId="4" fontId="45" fillId="0" borderId="18" xfId="47" applyNumberFormat="1" applyFont="1" applyFill="1" applyBorder="1" applyAlignment="1" applyProtection="1">
      <alignment vertical="center"/>
    </xf>
    <xf numFmtId="4" fontId="45" fillId="0" borderId="18" xfId="0" applyNumberFormat="1" applyFont="1" applyFill="1" applyBorder="1" applyAlignment="1" applyProtection="1">
      <alignment vertical="center"/>
    </xf>
    <xf numFmtId="4" fontId="46" fillId="0" borderId="18" xfId="47" applyNumberFormat="1" applyFont="1" applyBorder="1" applyAlignment="1">
      <alignment vertical="center"/>
    </xf>
    <xf numFmtId="4" fontId="44" fillId="29" borderId="11" xfId="47" applyNumberFormat="1" applyFont="1" applyFill="1" applyBorder="1" applyAlignment="1" applyProtection="1">
      <alignment vertical="center"/>
    </xf>
    <xf numFmtId="4" fontId="45" fillId="0" borderId="19" xfId="0" applyNumberFormat="1" applyFont="1" applyFill="1" applyBorder="1" applyAlignment="1" applyProtection="1">
      <alignment vertical="center"/>
    </xf>
    <xf numFmtId="4" fontId="46" fillId="0" borderId="19" xfId="47" applyNumberFormat="1" applyFont="1" applyFill="1" applyBorder="1" applyAlignment="1">
      <alignment vertical="center"/>
    </xf>
    <xf numFmtId="4" fontId="39" fillId="6" borderId="11" xfId="47" applyNumberFormat="1" applyFont="1" applyFill="1" applyBorder="1" applyAlignment="1">
      <alignment vertical="center" wrapText="1"/>
    </xf>
    <xf numFmtId="4" fontId="39" fillId="6" borderId="11" xfId="1" applyNumberFormat="1" applyFont="1" applyFill="1" applyBorder="1" applyAlignment="1">
      <alignment vertical="center" wrapText="1"/>
    </xf>
    <xf numFmtId="4" fontId="46" fillId="0" borderId="0" xfId="47" applyNumberFormat="1" applyFont="1" applyAlignment="1">
      <alignment horizontal="right"/>
    </xf>
    <xf numFmtId="4" fontId="46" fillId="0" borderId="0" xfId="0" applyNumberFormat="1" applyFont="1"/>
    <xf numFmtId="0" fontId="44" fillId="29" borderId="11" xfId="0" applyFont="1" applyFill="1" applyBorder="1" applyAlignment="1" applyProtection="1">
      <alignment horizontal="left" vertical="top" wrapText="1"/>
    </xf>
    <xf numFmtId="0" fontId="45" fillId="0" borderId="19" xfId="0" applyFont="1" applyFill="1" applyBorder="1" applyAlignment="1" applyProtection="1">
      <alignment horizontal="left" wrapText="1"/>
    </xf>
    <xf numFmtId="0" fontId="45" fillId="0" borderId="17" xfId="0" applyFont="1" applyFill="1" applyBorder="1" applyAlignment="1" applyProtection="1">
      <alignment horizontal="left" wrapText="1"/>
    </xf>
    <xf numFmtId="0" fontId="45" fillId="0" borderId="18" xfId="0" applyFont="1" applyFill="1" applyBorder="1" applyAlignment="1" applyProtection="1">
      <alignment horizontal="left" wrapText="1"/>
    </xf>
    <xf numFmtId="0" fontId="46" fillId="0" borderId="19" xfId="0" applyFont="1" applyBorder="1" applyAlignment="1">
      <alignment horizontal="left" wrapText="1"/>
    </xf>
    <xf numFmtId="0" fontId="46" fillId="0" borderId="17" xfId="0" applyFont="1" applyBorder="1" applyAlignment="1">
      <alignment horizontal="left" wrapText="1"/>
    </xf>
    <xf numFmtId="0" fontId="46" fillId="0" borderId="36" xfId="0" applyFont="1" applyBorder="1" applyAlignment="1">
      <alignment horizontal="left" wrapText="1"/>
    </xf>
    <xf numFmtId="0" fontId="45" fillId="0" borderId="19" xfId="0" applyFont="1" applyFill="1" applyBorder="1" applyAlignment="1" applyProtection="1">
      <alignment horizontal="left" vertical="top" wrapText="1"/>
    </xf>
    <xf numFmtId="0" fontId="45" fillId="0" borderId="17" xfId="0" applyFont="1" applyFill="1" applyBorder="1" applyAlignment="1" applyProtection="1">
      <alignment horizontal="left" vertical="top" wrapText="1"/>
    </xf>
    <xf numFmtId="0" fontId="45" fillId="0" borderId="19" xfId="0" applyFont="1" applyBorder="1" applyAlignment="1" applyProtection="1">
      <alignment horizontal="left" vertical="top" wrapText="1"/>
    </xf>
    <xf numFmtId="0" fontId="45" fillId="0" borderId="17" xfId="0" applyFont="1" applyBorder="1" applyAlignment="1" applyProtection="1">
      <alignment horizontal="left" vertical="top" wrapText="1"/>
    </xf>
    <xf numFmtId="0" fontId="46" fillId="0" borderId="0" xfId="0" applyFont="1" applyAlignment="1">
      <alignment horizontal="left" wrapText="1"/>
    </xf>
    <xf numFmtId="4" fontId="46" fillId="0" borderId="36" xfId="47" applyNumberFormat="1" applyFont="1" applyBorder="1" applyAlignment="1">
      <alignment vertical="center"/>
    </xf>
    <xf numFmtId="4" fontId="46" fillId="0" borderId="50" xfId="47" applyNumberFormat="1" applyFont="1" applyBorder="1" applyAlignment="1">
      <alignment vertical="center"/>
    </xf>
    <xf numFmtId="4" fontId="46" fillId="0" borderId="36" xfId="47" applyNumberFormat="1" applyFont="1" applyFill="1" applyBorder="1" applyAlignment="1">
      <alignment vertical="center"/>
    </xf>
    <xf numFmtId="4" fontId="59" fillId="29" borderId="11" xfId="47" applyNumberFormat="1" applyFont="1" applyFill="1" applyBorder="1" applyAlignment="1">
      <alignment vertical="center"/>
    </xf>
    <xf numFmtId="4" fontId="59" fillId="29" borderId="11" xfId="0" applyNumberFormat="1" applyFont="1" applyFill="1" applyBorder="1" applyAlignment="1">
      <alignment vertical="center"/>
    </xf>
    <xf numFmtId="10" fontId="59" fillId="29" borderId="11" xfId="47" applyNumberFormat="1" applyFont="1" applyFill="1" applyBorder="1" applyAlignment="1">
      <alignment vertical="center"/>
    </xf>
    <xf numFmtId="10" fontId="46" fillId="0" borderId="19" xfId="47" applyNumberFormat="1" applyFont="1" applyBorder="1" applyAlignment="1">
      <alignment vertical="center"/>
    </xf>
    <xf numFmtId="10" fontId="46" fillId="0" borderId="17" xfId="47" applyNumberFormat="1" applyFont="1" applyBorder="1" applyAlignment="1">
      <alignment vertical="center"/>
    </xf>
    <xf numFmtId="10" fontId="45" fillId="0" borderId="17" xfId="47" applyNumberFormat="1" applyFont="1" applyFill="1" applyBorder="1" applyAlignment="1" applyProtection="1">
      <alignment vertical="center"/>
    </xf>
    <xf numFmtId="10" fontId="45" fillId="0" borderId="18" xfId="47" applyNumberFormat="1" applyFont="1" applyFill="1" applyBorder="1" applyAlignment="1" applyProtection="1">
      <alignment vertical="center"/>
    </xf>
    <xf numFmtId="10" fontId="53" fillId="29" borderId="11" xfId="47" applyNumberFormat="1" applyFont="1" applyFill="1" applyBorder="1" applyAlignment="1">
      <alignment vertical="center"/>
    </xf>
    <xf numFmtId="10" fontId="39" fillId="6" borderId="11" xfId="47" applyNumberFormat="1" applyFont="1" applyFill="1" applyBorder="1" applyAlignment="1">
      <alignment vertical="center" wrapText="1"/>
    </xf>
    <xf numFmtId="10" fontId="59" fillId="29" borderId="11" xfId="0" applyNumberFormat="1" applyFont="1" applyFill="1" applyBorder="1" applyAlignment="1">
      <alignment vertical="center"/>
    </xf>
    <xf numFmtId="10" fontId="46" fillId="0" borderId="19" xfId="0" applyNumberFormat="1" applyFont="1" applyBorder="1" applyAlignment="1">
      <alignment vertical="center"/>
    </xf>
    <xf numFmtId="10" fontId="46" fillId="0" borderId="17" xfId="0" applyNumberFormat="1" applyFont="1" applyBorder="1" applyAlignment="1">
      <alignment vertical="center"/>
    </xf>
    <xf numFmtId="10" fontId="45" fillId="0" borderId="17" xfId="0" applyNumberFormat="1" applyFont="1" applyFill="1" applyBorder="1" applyAlignment="1" applyProtection="1">
      <alignment vertical="center"/>
    </xf>
    <xf numFmtId="10" fontId="45" fillId="0" borderId="18" xfId="0" applyNumberFormat="1" applyFont="1" applyFill="1" applyBorder="1" applyAlignment="1" applyProtection="1">
      <alignment vertical="center"/>
    </xf>
    <xf numFmtId="10" fontId="53" fillId="29" borderId="11" xfId="0" applyNumberFormat="1" applyFont="1" applyFill="1" applyBorder="1" applyAlignment="1">
      <alignment vertical="center"/>
    </xf>
    <xf numFmtId="10" fontId="45" fillId="0" borderId="19" xfId="0" applyNumberFormat="1" applyFont="1" applyFill="1" applyBorder="1" applyAlignment="1" applyProtection="1">
      <alignment vertical="center"/>
    </xf>
    <xf numFmtId="10" fontId="39" fillId="6" borderId="11" xfId="1" applyNumberFormat="1" applyFont="1" applyFill="1" applyBorder="1" applyAlignment="1">
      <alignment vertical="center" wrapText="1"/>
    </xf>
    <xf numFmtId="10" fontId="46" fillId="0" borderId="0" xfId="0" applyNumberFormat="1" applyFont="1"/>
    <xf numFmtId="10" fontId="46" fillId="0" borderId="18" xfId="47" applyNumberFormat="1" applyFont="1" applyBorder="1" applyAlignment="1">
      <alignment vertical="center"/>
    </xf>
    <xf numFmtId="10" fontId="46" fillId="0" borderId="36" xfId="47" applyNumberFormat="1" applyFont="1" applyBorder="1" applyAlignment="1">
      <alignment vertical="center"/>
    </xf>
    <xf numFmtId="10" fontId="44" fillId="29" borderId="11" xfId="47" applyNumberFormat="1" applyFont="1" applyFill="1" applyBorder="1" applyAlignment="1" applyProtection="1">
      <alignment vertical="center"/>
    </xf>
    <xf numFmtId="10" fontId="46" fillId="0" borderId="50" xfId="47" applyNumberFormat="1" applyFont="1" applyBorder="1" applyAlignment="1">
      <alignment vertical="center"/>
    </xf>
    <xf numFmtId="10" fontId="46" fillId="0" borderId="19" xfId="47" applyNumberFormat="1" applyFont="1" applyFill="1" applyBorder="1" applyAlignment="1">
      <alignment vertical="center"/>
    </xf>
    <xf numFmtId="10" fontId="46" fillId="0" borderId="17" xfId="47" applyNumberFormat="1" applyFont="1" applyFill="1" applyBorder="1" applyAlignment="1">
      <alignment vertical="center"/>
    </xf>
    <xf numFmtId="10" fontId="46" fillId="0" borderId="36" xfId="47" applyNumberFormat="1" applyFont="1" applyFill="1" applyBorder="1" applyAlignment="1">
      <alignment vertical="center"/>
    </xf>
    <xf numFmtId="10" fontId="46" fillId="0" borderId="0" xfId="47" applyNumberFormat="1" applyFont="1"/>
    <xf numFmtId="10" fontId="60" fillId="0" borderId="19" xfId="47" applyNumberFormat="1" applyFont="1" applyBorder="1" applyAlignment="1">
      <alignment vertical="center"/>
    </xf>
    <xf numFmtId="0" fontId="41" fillId="0" borderId="0" xfId="0" applyFont="1" applyAlignment="1">
      <alignment wrapText="1"/>
    </xf>
    <xf numFmtId="4" fontId="40" fillId="20" borderId="22" xfId="0" applyNumberFormat="1" applyFont="1" applyFill="1" applyBorder="1" applyAlignment="1">
      <alignment horizontal="right" vertical="center" wrapText="1"/>
    </xf>
    <xf numFmtId="4" fontId="38" fillId="0" borderId="22" xfId="0" applyNumberFormat="1" applyFont="1" applyFill="1" applyBorder="1" applyAlignment="1">
      <alignment horizontal="right" vertical="center" wrapText="1"/>
    </xf>
    <xf numFmtId="4" fontId="40" fillId="27" borderId="22" xfId="0" applyNumberFormat="1" applyFont="1" applyFill="1" applyBorder="1" applyAlignment="1">
      <alignment horizontal="right" vertical="center" wrapText="1"/>
    </xf>
    <xf numFmtId="4" fontId="40" fillId="25" borderId="22" xfId="0" applyNumberFormat="1" applyFont="1" applyFill="1" applyBorder="1" applyAlignment="1">
      <alignment horizontal="right" vertical="center" wrapText="1"/>
    </xf>
    <xf numFmtId="171" fontId="38" fillId="0" borderId="22" xfId="0" applyNumberFormat="1" applyFont="1" applyFill="1" applyBorder="1" applyAlignment="1">
      <alignment horizontal="right" vertical="center" wrapText="1"/>
    </xf>
    <xf numFmtId="165" fontId="38" fillId="0" borderId="22" xfId="0" applyNumberFormat="1" applyFont="1" applyFill="1" applyBorder="1" applyAlignment="1">
      <alignment horizontal="right" vertical="center" wrapText="1"/>
    </xf>
    <xf numFmtId="0" fontId="41" fillId="0" borderId="21" xfId="0" applyFont="1" applyBorder="1"/>
    <xf numFmtId="49" fontId="38" fillId="0" borderId="52" xfId="0" applyNumberFormat="1" applyFont="1" applyFill="1" applyBorder="1" applyAlignment="1">
      <alignment horizontal="center"/>
    </xf>
    <xf numFmtId="0" fontId="38" fillId="0" borderId="52" xfId="0" applyFont="1" applyFill="1" applyBorder="1" applyAlignment="1">
      <alignment horizontal="left" wrapText="1"/>
    </xf>
    <xf numFmtId="49" fontId="38" fillId="4" borderId="53" xfId="0" applyNumberFormat="1" applyFont="1" applyFill="1" applyBorder="1" applyAlignment="1">
      <alignment horizontal="center"/>
    </xf>
    <xf numFmtId="0" fontId="40" fillId="4" borderId="53" xfId="0" applyFont="1" applyFill="1" applyBorder="1" applyAlignment="1">
      <alignment horizontal="center" vertical="center" wrapText="1"/>
    </xf>
    <xf numFmtId="10" fontId="38" fillId="0" borderId="54" xfId="0" applyNumberFormat="1" applyFont="1" applyFill="1" applyBorder="1" applyAlignment="1">
      <alignment horizontal="right" vertical="center" wrapText="1"/>
    </xf>
    <xf numFmtId="10" fontId="40" fillId="20" borderId="22" xfId="0" applyNumberFormat="1" applyFont="1" applyFill="1" applyBorder="1" applyAlignment="1">
      <alignment horizontal="right" vertical="center" wrapText="1"/>
    </xf>
    <xf numFmtId="165" fontId="40" fillId="20" borderId="22" xfId="0" applyNumberFormat="1" applyFont="1" applyFill="1" applyBorder="1" applyAlignment="1">
      <alignment horizontal="right" vertical="center" wrapText="1"/>
    </xf>
    <xf numFmtId="10" fontId="61" fillId="27" borderId="50" xfId="0" applyNumberFormat="1" applyFont="1" applyFill="1" applyBorder="1" applyAlignment="1">
      <alignment horizontal="right" wrapText="1"/>
    </xf>
    <xf numFmtId="165" fontId="38" fillId="0" borderId="54" xfId="0" applyNumberFormat="1" applyFont="1" applyFill="1" applyBorder="1" applyAlignment="1">
      <alignment horizontal="right" vertical="center" wrapText="1"/>
    </xf>
    <xf numFmtId="10" fontId="38" fillId="0" borderId="22" xfId="0" applyNumberFormat="1" applyFont="1" applyFill="1" applyBorder="1" applyAlignment="1">
      <alignment horizontal="right" vertical="center" wrapText="1"/>
    </xf>
    <xf numFmtId="0" fontId="41" fillId="27" borderId="50" xfId="0" applyFont="1" applyFill="1" applyBorder="1" applyAlignment="1">
      <alignment horizontal="right" wrapText="1"/>
    </xf>
    <xf numFmtId="165" fontId="40" fillId="25" borderId="22" xfId="0" applyNumberFormat="1" applyFont="1" applyFill="1" applyBorder="1" applyAlignment="1">
      <alignment horizontal="right" vertical="center" wrapText="1"/>
    </xf>
    <xf numFmtId="165" fontId="38" fillId="0" borderId="52" xfId="0" applyNumberFormat="1" applyFont="1" applyFill="1" applyBorder="1" applyAlignment="1">
      <alignment horizontal="right" vertical="center" wrapText="1"/>
    </xf>
    <xf numFmtId="165" fontId="38" fillId="0" borderId="55" xfId="0" applyNumberFormat="1" applyFont="1" applyFill="1" applyBorder="1" applyAlignment="1">
      <alignment horizontal="right" vertical="center" wrapText="1"/>
    </xf>
    <xf numFmtId="171" fontId="40" fillId="20" borderId="22" xfId="0" applyNumberFormat="1" applyFont="1" applyFill="1" applyBorder="1" applyAlignment="1">
      <alignment horizontal="right" vertical="center" wrapText="1"/>
    </xf>
    <xf numFmtId="39" fontId="40" fillId="20" borderId="22" xfId="0" applyNumberFormat="1" applyFont="1" applyFill="1" applyBorder="1" applyAlignment="1">
      <alignment horizontal="right" vertical="center" wrapText="1"/>
    </xf>
    <xf numFmtId="10" fontId="40" fillId="25" borderId="22" xfId="0" applyNumberFormat="1" applyFont="1" applyFill="1" applyBorder="1" applyAlignment="1">
      <alignment horizontal="right" vertical="center" wrapText="1"/>
    </xf>
    <xf numFmtId="10" fontId="40" fillId="27" borderId="22" xfId="0" applyNumberFormat="1" applyFont="1" applyFill="1" applyBorder="1" applyAlignment="1">
      <alignment horizontal="right" vertical="center" wrapText="1"/>
    </xf>
    <xf numFmtId="4" fontId="56" fillId="20" borderId="22" xfId="0" applyNumberFormat="1" applyFont="1" applyFill="1" applyBorder="1" applyAlignment="1">
      <alignment horizontal="right" vertical="center" wrapText="1"/>
    </xf>
    <xf numFmtId="10" fontId="56" fillId="20" borderId="22" xfId="0" applyNumberFormat="1" applyFont="1" applyFill="1" applyBorder="1" applyAlignment="1">
      <alignment horizontal="right" vertical="center" wrapText="1"/>
    </xf>
    <xf numFmtId="171" fontId="40" fillId="4" borderId="53" xfId="29" applyNumberFormat="1" applyFont="1" applyFill="1" applyBorder="1" applyAlignment="1" applyProtection="1">
      <alignment horizontal="right" vertical="center" wrapText="1"/>
    </xf>
    <xf numFmtId="10" fontId="40" fillId="4" borderId="53" xfId="29" applyNumberFormat="1" applyFont="1" applyFill="1" applyBorder="1" applyAlignment="1" applyProtection="1">
      <alignment horizontal="right" vertical="center" wrapText="1"/>
    </xf>
    <xf numFmtId="10" fontId="40" fillId="4" borderId="51" xfId="29" applyNumberFormat="1" applyFont="1" applyFill="1" applyBorder="1" applyAlignment="1" applyProtection="1">
      <alignment horizontal="right" vertical="center" wrapText="1"/>
    </xf>
    <xf numFmtId="0" fontId="52" fillId="0" borderId="17" xfId="0" applyFont="1" applyBorder="1" applyAlignment="1">
      <alignment wrapText="1"/>
    </xf>
    <xf numFmtId="0" fontId="37" fillId="20" borderId="17" xfId="0" applyFont="1" applyFill="1" applyBorder="1" applyAlignment="1">
      <alignment wrapText="1"/>
    </xf>
    <xf numFmtId="4" fontId="52" fillId="0" borderId="17" xfId="29" applyNumberFormat="1" applyFont="1" applyFill="1" applyBorder="1" applyAlignment="1" applyProtection="1">
      <alignment horizontal="right" vertical="center" wrapText="1"/>
    </xf>
    <xf numFmtId="4" fontId="37" fillId="26" borderId="17" xfId="29" applyNumberFormat="1" applyFont="1" applyFill="1" applyBorder="1" applyAlignment="1" applyProtection="1">
      <alignment horizontal="right" vertical="center" wrapText="1"/>
    </xf>
    <xf numFmtId="4" fontId="37" fillId="20" borderId="17" xfId="29" applyNumberFormat="1" applyFont="1" applyFill="1" applyBorder="1" applyAlignment="1" applyProtection="1">
      <alignment horizontal="right" vertical="center" wrapText="1"/>
    </xf>
    <xf numFmtId="4" fontId="37" fillId="26" borderId="17" xfId="0" applyNumberFormat="1" applyFont="1" applyFill="1" applyBorder="1" applyAlignment="1">
      <alignment horizontal="right" vertical="top" wrapText="1"/>
    </xf>
    <xf numFmtId="4" fontId="39" fillId="28" borderId="0" xfId="0" applyNumberFormat="1" applyFont="1" applyFill="1" applyAlignment="1">
      <alignment horizontal="right"/>
    </xf>
    <xf numFmtId="10" fontId="37" fillId="31" borderId="17" xfId="48" applyNumberFormat="1" applyFont="1" applyFill="1" applyBorder="1" applyAlignment="1" applyProtection="1">
      <alignment horizontal="center" vertical="center" wrapText="1"/>
    </xf>
    <xf numFmtId="10" fontId="39" fillId="28" borderId="0" xfId="0" applyNumberFormat="1" applyFont="1" applyFill="1" applyBorder="1"/>
    <xf numFmtId="10" fontId="52" fillId="0" borderId="17" xfId="29" applyNumberFormat="1" applyFont="1" applyFill="1" applyBorder="1" applyAlignment="1" applyProtection="1">
      <alignment horizontal="right" vertical="center" wrapText="1"/>
    </xf>
    <xf numFmtId="10" fontId="37" fillId="26" borderId="17" xfId="29" applyNumberFormat="1" applyFont="1" applyFill="1" applyBorder="1" applyAlignment="1" applyProtection="1">
      <alignment horizontal="right" vertical="center" wrapText="1"/>
    </xf>
    <xf numFmtId="10" fontId="37" fillId="20" borderId="17" xfId="29" applyNumberFormat="1" applyFont="1" applyFill="1" applyBorder="1" applyAlignment="1" applyProtection="1">
      <alignment horizontal="right" vertical="center" wrapText="1"/>
    </xf>
    <xf numFmtId="10" fontId="37" fillId="26" borderId="17" xfId="0" applyNumberFormat="1" applyFont="1" applyFill="1" applyBorder="1" applyAlignment="1">
      <alignment horizontal="right" vertical="top" wrapText="1"/>
    </xf>
    <xf numFmtId="10" fontId="39" fillId="28" borderId="0" xfId="0" applyNumberFormat="1" applyFont="1" applyFill="1" applyAlignment="1">
      <alignment horizontal="right"/>
    </xf>
    <xf numFmtId="4" fontId="37" fillId="22" borderId="50" xfId="29" applyNumberFormat="1" applyFont="1" applyFill="1" applyBorder="1" applyAlignment="1" applyProtection="1">
      <alignment horizontal="right" vertical="center" wrapText="1"/>
    </xf>
    <xf numFmtId="4" fontId="52" fillId="0" borderId="50" xfId="29" applyNumberFormat="1" applyFont="1" applyFill="1" applyBorder="1" applyAlignment="1" applyProtection="1">
      <alignment horizontal="right" vertical="center" wrapText="1"/>
    </xf>
    <xf numFmtId="4" fontId="37" fillId="26" borderId="50" xfId="29" applyNumberFormat="1" applyFont="1" applyFill="1" applyBorder="1" applyAlignment="1" applyProtection="1">
      <alignment horizontal="right" vertical="center" wrapText="1"/>
    </xf>
    <xf numFmtId="4" fontId="37" fillId="20" borderId="50" xfId="29" applyNumberFormat="1" applyFont="1" applyFill="1" applyBorder="1" applyAlignment="1" applyProtection="1">
      <alignment horizontal="right" vertical="center" wrapText="1"/>
    </xf>
    <xf numFmtId="4" fontId="37" fillId="26" borderId="50" xfId="0" applyNumberFormat="1" applyFont="1" applyFill="1" applyBorder="1" applyAlignment="1">
      <alignment horizontal="right" vertical="top" wrapText="1"/>
    </xf>
    <xf numFmtId="0" fontId="52" fillId="0" borderId="17" xfId="0" applyFont="1" applyBorder="1" applyAlignment="1">
      <alignment horizontal="left" wrapText="1"/>
    </xf>
    <xf numFmtId="4" fontId="37" fillId="31" borderId="17" xfId="48" applyNumberFormat="1" applyFont="1" applyFill="1" applyBorder="1" applyAlignment="1" applyProtection="1">
      <alignment horizontal="right" vertical="center" wrapText="1"/>
    </xf>
    <xf numFmtId="0" fontId="39" fillId="28" borderId="0" xfId="0" applyFont="1" applyFill="1" applyBorder="1" applyAlignment="1">
      <alignment horizontal="right"/>
    </xf>
    <xf numFmtId="10" fontId="37" fillId="22" borderId="57" xfId="29" applyNumberFormat="1" applyFont="1" applyFill="1" applyBorder="1" applyAlignment="1" applyProtection="1">
      <alignment horizontal="right" vertical="center" wrapText="1"/>
    </xf>
    <xf numFmtId="10" fontId="52" fillId="0" borderId="57" xfId="29" applyNumberFormat="1" applyFont="1" applyFill="1" applyBorder="1" applyAlignment="1" applyProtection="1">
      <alignment horizontal="right" vertical="center" wrapText="1"/>
    </xf>
    <xf numFmtId="10" fontId="37" fillId="26" borderId="57" xfId="29" applyNumberFormat="1" applyFont="1" applyFill="1" applyBorder="1" applyAlignment="1" applyProtection="1">
      <alignment horizontal="right" vertical="center" wrapText="1"/>
    </xf>
    <xf numFmtId="10" fontId="37" fillId="20" borderId="57" xfId="29" applyNumberFormat="1" applyFont="1" applyFill="1" applyBorder="1" applyAlignment="1" applyProtection="1">
      <alignment horizontal="right" vertical="center" wrapText="1"/>
    </xf>
    <xf numFmtId="10" fontId="37" fillId="26" borderId="57" xfId="0" applyNumberFormat="1" applyFont="1" applyFill="1" applyBorder="1" applyAlignment="1">
      <alignment horizontal="right" vertical="top" wrapText="1"/>
    </xf>
    <xf numFmtId="0" fontId="41" fillId="0" borderId="0" xfId="0" applyFont="1" applyAlignment="1"/>
    <xf numFmtId="4" fontId="1" fillId="29" borderId="10" xfId="1" applyNumberFormat="1" applyFont="1" applyFill="1" applyBorder="1" applyAlignment="1">
      <alignment horizontal="center" vertical="center" wrapText="1"/>
    </xf>
    <xf numFmtId="4" fontId="2" fillId="0" borderId="10" xfId="29" applyNumberFormat="1" applyFont="1" applyFill="1" applyBorder="1" applyAlignment="1" applyProtection="1">
      <alignment horizontal="right" vertical="center"/>
    </xf>
    <xf numFmtId="4" fontId="1" fillId="0" borderId="10" xfId="29" applyNumberFormat="1" applyFont="1" applyFill="1" applyBorder="1" applyAlignment="1" applyProtection="1">
      <alignment horizontal="right" vertical="center"/>
    </xf>
    <xf numFmtId="4" fontId="2" fillId="0" borderId="10" xfId="29" applyNumberFormat="1" applyFont="1" applyFill="1" applyBorder="1" applyAlignment="1" applyProtection="1">
      <alignment horizontal="right" vertical="center" wrapText="1"/>
    </xf>
    <xf numFmtId="4" fontId="2" fillId="0" borderId="41" xfId="29" applyNumberFormat="1" applyFont="1" applyFill="1" applyBorder="1" applyAlignment="1" applyProtection="1">
      <alignment horizontal="right" vertical="center"/>
    </xf>
    <xf numFmtId="4" fontId="1" fillId="29" borderId="10" xfId="29" applyNumberFormat="1" applyFont="1" applyFill="1" applyBorder="1" applyAlignment="1" applyProtection="1">
      <alignment horizontal="right" vertical="center"/>
    </xf>
    <xf numFmtId="4" fontId="0" fillId="0" borderId="0" xfId="0" applyNumberFormat="1"/>
    <xf numFmtId="4" fontId="52" fillId="0" borderId="58" xfId="29" applyNumberFormat="1" applyFont="1" applyFill="1" applyBorder="1" applyAlignment="1" applyProtection="1">
      <alignment horizontal="right" vertical="center" wrapText="1"/>
    </xf>
    <xf numFmtId="4" fontId="37" fillId="26" borderId="58" xfId="29" applyNumberFormat="1" applyFont="1" applyFill="1" applyBorder="1" applyAlignment="1" applyProtection="1">
      <alignment horizontal="right" vertical="center" wrapText="1"/>
    </xf>
    <xf numFmtId="4" fontId="37" fillId="20" borderId="58" xfId="29" applyNumberFormat="1" applyFont="1" applyFill="1" applyBorder="1" applyAlignment="1" applyProtection="1">
      <alignment horizontal="right" vertical="center" wrapText="1"/>
    </xf>
    <xf numFmtId="4" fontId="37" fillId="26" borderId="58" xfId="0" applyNumberFormat="1" applyFont="1" applyFill="1" applyBorder="1" applyAlignment="1">
      <alignment horizontal="right" vertical="top" wrapText="1"/>
    </xf>
    <xf numFmtId="0" fontId="41" fillId="0" borderId="33" xfId="0" applyFont="1" applyBorder="1"/>
    <xf numFmtId="172" fontId="61" fillId="27" borderId="0" xfId="0" applyNumberFormat="1" applyFont="1" applyFill="1" applyBorder="1" applyAlignment="1">
      <alignment horizontal="right" vertical="center" wrapText="1"/>
    </xf>
    <xf numFmtId="165" fontId="38" fillId="0" borderId="59" xfId="0" applyNumberFormat="1" applyFont="1" applyFill="1" applyBorder="1" applyAlignment="1">
      <alignment horizontal="right" vertical="center" wrapText="1"/>
    </xf>
    <xf numFmtId="171" fontId="38" fillId="0" borderId="59" xfId="0" applyNumberFormat="1" applyFont="1" applyFill="1" applyBorder="1" applyAlignment="1">
      <alignment horizontal="right" vertical="center" wrapText="1"/>
    </xf>
    <xf numFmtId="4" fontId="61" fillId="27" borderId="0" xfId="0" applyNumberFormat="1" applyFont="1" applyFill="1" applyBorder="1" applyAlignment="1">
      <alignment horizontal="right" wrapText="1"/>
    </xf>
    <xf numFmtId="4" fontId="38" fillId="0" borderId="59" xfId="0" applyNumberFormat="1" applyFont="1" applyFill="1" applyBorder="1" applyAlignment="1">
      <alignment horizontal="right" vertical="center" wrapText="1"/>
    </xf>
    <xf numFmtId="0" fontId="41" fillId="27" borderId="0" xfId="0" applyFont="1" applyFill="1" applyBorder="1" applyAlignment="1">
      <alignment horizontal="right" wrapText="1"/>
    </xf>
    <xf numFmtId="171" fontId="40" fillId="4" borderId="60" xfId="29" applyNumberFormat="1" applyFont="1" applyFill="1" applyBorder="1" applyAlignment="1" applyProtection="1">
      <alignment horizontal="right" vertical="center" wrapText="1"/>
    </xf>
    <xf numFmtId="0" fontId="38" fillId="0" borderId="61" xfId="0" applyFont="1" applyFill="1" applyBorder="1" applyAlignment="1">
      <alignment horizontal="center" vertical="center" wrapText="1"/>
    </xf>
    <xf numFmtId="172" fontId="40" fillId="20" borderId="54" xfId="0" applyNumberFormat="1" applyFont="1" applyFill="1" applyBorder="1" applyAlignment="1">
      <alignment horizontal="right" vertical="center" wrapText="1"/>
    </xf>
    <xf numFmtId="171" fontId="38" fillId="0" borderId="54" xfId="0" applyNumberFormat="1" applyFont="1" applyFill="1" applyBorder="1" applyAlignment="1">
      <alignment horizontal="right" vertical="center" wrapText="1"/>
    </xf>
    <xf numFmtId="4" fontId="40" fillId="20" borderId="54" xfId="0" applyNumberFormat="1" applyFont="1" applyFill="1" applyBorder="1" applyAlignment="1">
      <alignment horizontal="right" vertical="center" wrapText="1"/>
    </xf>
    <xf numFmtId="4" fontId="38" fillId="0" borderId="54" xfId="0" applyNumberFormat="1" applyFont="1" applyFill="1" applyBorder="1" applyAlignment="1">
      <alignment horizontal="right" vertical="center" wrapText="1"/>
    </xf>
    <xf numFmtId="165" fontId="40" fillId="20" borderId="54" xfId="0" applyNumberFormat="1" applyFont="1" applyFill="1" applyBorder="1" applyAlignment="1">
      <alignment horizontal="right" vertical="center" wrapText="1"/>
    </xf>
    <xf numFmtId="4" fontId="40" fillId="27" borderId="54" xfId="0" applyNumberFormat="1" applyFont="1" applyFill="1" applyBorder="1" applyAlignment="1">
      <alignment horizontal="right" vertical="center" wrapText="1"/>
    </xf>
    <xf numFmtId="4" fontId="40" fillId="25" borderId="54" xfId="0" applyNumberFormat="1" applyFont="1" applyFill="1" applyBorder="1" applyAlignment="1">
      <alignment horizontal="right" vertical="center" wrapText="1"/>
    </xf>
    <xf numFmtId="4" fontId="56" fillId="20" borderId="54" xfId="0" applyNumberFormat="1" applyFont="1" applyFill="1" applyBorder="1" applyAlignment="1">
      <alignment horizontal="right" vertical="center" wrapText="1"/>
    </xf>
    <xf numFmtId="165" fontId="38" fillId="0" borderId="62" xfId="0" applyNumberFormat="1" applyFont="1" applyFill="1" applyBorder="1" applyAlignment="1">
      <alignment horizontal="right" vertical="center" wrapText="1"/>
    </xf>
    <xf numFmtId="171" fontId="40" fillId="4" borderId="51" xfId="29" applyNumberFormat="1" applyFont="1" applyFill="1" applyBorder="1" applyAlignment="1" applyProtection="1">
      <alignment horizontal="right" vertical="center" wrapText="1"/>
    </xf>
    <xf numFmtId="0" fontId="42" fillId="0" borderId="0" xfId="0" applyFont="1" applyAlignment="1">
      <alignment horizontal="center"/>
    </xf>
    <xf numFmtId="0" fontId="42" fillId="0" borderId="12" xfId="0" applyFont="1" applyBorder="1"/>
    <xf numFmtId="0" fontId="46" fillId="0" borderId="36" xfId="0" applyFont="1" applyBorder="1"/>
    <xf numFmtId="0" fontId="45" fillId="0" borderId="50" xfId="0" applyFont="1" applyFill="1" applyBorder="1" applyAlignment="1" applyProtection="1">
      <alignment horizontal="left" wrapText="1"/>
    </xf>
    <xf numFmtId="4" fontId="45" fillId="0" borderId="50" xfId="47" applyNumberFormat="1" applyFont="1" applyFill="1" applyBorder="1" applyAlignment="1" applyProtection="1">
      <alignment vertical="center"/>
    </xf>
    <xf numFmtId="10" fontId="45" fillId="0" borderId="50" xfId="47" applyNumberFormat="1" applyFont="1" applyFill="1" applyBorder="1" applyAlignment="1" applyProtection="1">
      <alignment vertical="center"/>
    </xf>
    <xf numFmtId="4" fontId="45" fillId="0" borderId="50" xfId="0" applyNumberFormat="1" applyFont="1" applyFill="1" applyBorder="1" applyAlignment="1" applyProtection="1">
      <alignment vertical="center"/>
    </xf>
    <xf numFmtId="10" fontId="45" fillId="0" borderId="50" xfId="0" applyNumberFormat="1" applyFont="1" applyFill="1" applyBorder="1" applyAlignment="1" applyProtection="1">
      <alignment vertical="center"/>
    </xf>
    <xf numFmtId="4" fontId="46" fillId="0" borderId="50" xfId="47" applyNumberFormat="1" applyFont="1" applyFill="1" applyBorder="1" applyAlignment="1">
      <alignment vertical="center"/>
    </xf>
    <xf numFmtId="10" fontId="46" fillId="0" borderId="50" xfId="47" applyNumberFormat="1" applyFont="1" applyFill="1" applyBorder="1" applyAlignment="1">
      <alignment vertical="center"/>
    </xf>
    <xf numFmtId="0" fontId="46" fillId="0" borderId="0" xfId="0" applyFont="1" applyBorder="1"/>
    <xf numFmtId="0" fontId="46" fillId="0" borderId="50" xfId="0" applyFont="1" applyBorder="1" applyAlignment="1">
      <alignment horizontal="center" vertical="center"/>
    </xf>
    <xf numFmtId="0" fontId="46" fillId="0" borderId="49" xfId="0" applyFont="1" applyBorder="1" applyAlignment="1">
      <alignment horizontal="center" vertical="center"/>
    </xf>
    <xf numFmtId="4" fontId="46" fillId="29" borderId="11" xfId="47" applyNumberFormat="1" applyFont="1" applyFill="1" applyBorder="1" applyAlignment="1">
      <alignment vertical="center"/>
    </xf>
    <xf numFmtId="10" fontId="46" fillId="29" borderId="11" xfId="47" applyNumberFormat="1" applyFont="1" applyFill="1" applyBorder="1" applyAlignment="1">
      <alignment vertical="center"/>
    </xf>
    <xf numFmtId="0" fontId="45" fillId="0" borderId="57" xfId="0" applyFont="1" applyFill="1" applyBorder="1" applyAlignment="1" applyProtection="1">
      <alignment horizontal="left" wrapText="1"/>
    </xf>
    <xf numFmtId="0" fontId="46" fillId="28" borderId="17" xfId="0" applyFont="1" applyFill="1" applyBorder="1" applyAlignment="1">
      <alignment horizontal="center"/>
    </xf>
    <xf numFmtId="3" fontId="35" fillId="28" borderId="0" xfId="49" applyNumberFormat="1" applyFont="1" applyFill="1" applyBorder="1" applyAlignment="1">
      <alignment horizontal="left" vertical="center" wrapText="1"/>
    </xf>
    <xf numFmtId="4" fontId="45" fillId="28" borderId="17" xfId="47" applyNumberFormat="1" applyFont="1" applyFill="1" applyBorder="1" applyAlignment="1" applyProtection="1">
      <alignment vertical="center"/>
    </xf>
    <xf numFmtId="10" fontId="45" fillId="28" borderId="17" xfId="47" applyNumberFormat="1" applyFont="1" applyFill="1" applyBorder="1" applyAlignment="1" applyProtection="1">
      <alignment vertical="center"/>
    </xf>
    <xf numFmtId="4" fontId="45" fillId="28" borderId="17" xfId="0" applyNumberFormat="1" applyFont="1" applyFill="1" applyBorder="1" applyAlignment="1" applyProtection="1">
      <alignment vertical="center"/>
    </xf>
    <xf numFmtId="10" fontId="45" fillId="28" borderId="17" xfId="0" applyNumberFormat="1" applyFont="1" applyFill="1" applyBorder="1" applyAlignment="1" applyProtection="1">
      <alignment vertical="center"/>
    </xf>
    <xf numFmtId="4" fontId="46" fillId="28" borderId="17" xfId="47" applyNumberFormat="1" applyFont="1" applyFill="1" applyBorder="1" applyAlignment="1">
      <alignment vertical="center"/>
    </xf>
    <xf numFmtId="10" fontId="46" fillId="28" borderId="17" xfId="47" applyNumberFormat="1" applyFont="1" applyFill="1" applyBorder="1" applyAlignment="1">
      <alignment vertical="center"/>
    </xf>
    <xf numFmtId="0" fontId="46" fillId="28" borderId="0" xfId="0" applyFont="1" applyFill="1"/>
    <xf numFmtId="0" fontId="45" fillId="28" borderId="17" xfId="0" applyFont="1" applyFill="1" applyBorder="1" applyAlignment="1" applyProtection="1">
      <alignment horizontal="left" wrapText="1"/>
    </xf>
    <xf numFmtId="0" fontId="46" fillId="0" borderId="58" xfId="0" applyFont="1" applyBorder="1" applyAlignment="1">
      <alignment horizontal="center"/>
    </xf>
    <xf numFmtId="0" fontId="45" fillId="0" borderId="58" xfId="0" applyFont="1" applyFill="1" applyBorder="1" applyAlignment="1" applyProtection="1">
      <alignment horizontal="center" vertical="top"/>
    </xf>
    <xf numFmtId="0" fontId="46" fillId="0" borderId="58" xfId="0" applyFont="1" applyBorder="1" applyAlignment="1">
      <alignment horizontal="left" wrapText="1"/>
    </xf>
    <xf numFmtId="4" fontId="46" fillId="0" borderId="58" xfId="47" applyNumberFormat="1" applyFont="1" applyBorder="1" applyAlignment="1">
      <alignment vertical="center"/>
    </xf>
    <xf numFmtId="10" fontId="46" fillId="0" borderId="58" xfId="47" applyNumberFormat="1" applyFont="1" applyBorder="1" applyAlignment="1">
      <alignment vertical="center"/>
    </xf>
    <xf numFmtId="4" fontId="46" fillId="0" borderId="58" xfId="0" applyNumberFormat="1" applyFont="1" applyBorder="1" applyAlignment="1">
      <alignment vertical="center"/>
    </xf>
    <xf numFmtId="10" fontId="46" fillId="0" borderId="58" xfId="0" applyNumberFormat="1" applyFont="1" applyBorder="1" applyAlignment="1">
      <alignment vertical="center"/>
    </xf>
    <xf numFmtId="10" fontId="40" fillId="6" borderId="11" xfId="0" applyNumberFormat="1" applyFont="1" applyFill="1" applyBorder="1" applyAlignment="1">
      <alignment horizontal="center" vertical="center" wrapText="1" shrinkToFit="1"/>
    </xf>
    <xf numFmtId="10" fontId="38" fillId="0" borderId="24" xfId="0" applyNumberFormat="1" applyFont="1" applyFill="1" applyBorder="1" applyAlignment="1">
      <alignment horizontal="center" vertical="center" wrapText="1"/>
    </xf>
    <xf numFmtId="10" fontId="38" fillId="0" borderId="52" xfId="0" applyNumberFormat="1" applyFont="1" applyFill="1" applyBorder="1" applyAlignment="1">
      <alignment horizontal="right" vertical="center" wrapText="1"/>
    </xf>
    <xf numFmtId="10" fontId="42" fillId="0" borderId="0" xfId="0" applyNumberFormat="1" applyFont="1" applyAlignment="1">
      <alignment horizontal="center"/>
    </xf>
    <xf numFmtId="10" fontId="42" fillId="0" borderId="12" xfId="0" applyNumberFormat="1" applyFont="1" applyBorder="1"/>
    <xf numFmtId="0" fontId="46" fillId="0" borderId="58" xfId="0" applyFont="1" applyBorder="1"/>
    <xf numFmtId="0" fontId="45" fillId="0" borderId="58" xfId="0" applyFont="1" applyBorder="1" applyAlignment="1" applyProtection="1">
      <alignment horizontal="left" vertical="top" wrapText="1"/>
    </xf>
    <xf numFmtId="0" fontId="45" fillId="0" borderId="58" xfId="0" applyFont="1" applyFill="1" applyBorder="1" applyAlignment="1" applyProtection="1">
      <alignment horizontal="center" vertical="center"/>
    </xf>
    <xf numFmtId="0" fontId="64" fillId="0" borderId="0" xfId="0" applyFont="1"/>
    <xf numFmtId="10" fontId="52" fillId="0" borderId="58" xfId="29" applyNumberFormat="1" applyFont="1" applyFill="1" applyBorder="1" applyAlignment="1" applyProtection="1">
      <alignment horizontal="right" vertical="center" wrapText="1"/>
    </xf>
    <xf numFmtId="4" fontId="52" fillId="28" borderId="17" xfId="29" applyNumberFormat="1" applyFont="1" applyFill="1" applyBorder="1" applyAlignment="1" applyProtection="1">
      <alignment horizontal="right" vertical="center" wrapText="1"/>
    </xf>
    <xf numFmtId="4" fontId="52" fillId="28" borderId="58" xfId="29" applyNumberFormat="1" applyFont="1" applyFill="1" applyBorder="1" applyAlignment="1" applyProtection="1">
      <alignment horizontal="right" vertical="center" wrapText="1"/>
    </xf>
    <xf numFmtId="10" fontId="37" fillId="20" borderId="58" xfId="29" applyNumberFormat="1" applyFont="1" applyFill="1" applyBorder="1" applyAlignment="1" applyProtection="1">
      <alignment horizontal="right" vertical="center" wrapText="1"/>
    </xf>
    <xf numFmtId="0" fontId="41" fillId="0" borderId="0" xfId="0" applyFont="1" applyAlignment="1">
      <alignment horizontal="center"/>
    </xf>
    <xf numFmtId="0" fontId="41" fillId="0" borderId="0" xfId="0" applyFont="1" applyAlignment="1">
      <alignment horizontal="left"/>
    </xf>
    <xf numFmtId="49" fontId="53" fillId="28" borderId="50" xfId="0" applyNumberFormat="1" applyFont="1" applyFill="1" applyBorder="1" applyAlignment="1" applyProtection="1">
      <alignment horizontal="center" vertical="top"/>
    </xf>
    <xf numFmtId="49" fontId="65" fillId="28" borderId="50" xfId="0" applyNumberFormat="1" applyFont="1" applyFill="1" applyBorder="1" applyAlignment="1" applyProtection="1">
      <alignment horizontal="center" vertical="center"/>
    </xf>
    <xf numFmtId="0" fontId="66" fillId="28" borderId="50" xfId="0" applyFont="1" applyFill="1" applyBorder="1" applyAlignment="1" applyProtection="1">
      <alignment horizontal="left" vertical="top" wrapText="1"/>
    </xf>
    <xf numFmtId="4" fontId="65" fillId="28" borderId="50" xfId="47" applyNumberFormat="1" applyFont="1" applyFill="1" applyBorder="1" applyAlignment="1">
      <alignment vertical="center"/>
    </xf>
    <xf numFmtId="10" fontId="65" fillId="28" borderId="50" xfId="47" applyNumberFormat="1" applyFont="1" applyFill="1" applyBorder="1" applyAlignment="1">
      <alignment vertical="center"/>
    </xf>
    <xf numFmtId="4" fontId="65" fillId="28" borderId="50" xfId="0" applyNumberFormat="1" applyFont="1" applyFill="1" applyBorder="1" applyAlignment="1">
      <alignment vertical="center"/>
    </xf>
    <xf numFmtId="10" fontId="65" fillId="28" borderId="50" xfId="0" applyNumberFormat="1" applyFont="1" applyFill="1" applyBorder="1" applyAlignment="1">
      <alignment vertical="center"/>
    </xf>
    <xf numFmtId="0" fontId="52" fillId="28" borderId="17" xfId="0" applyFont="1" applyFill="1" applyBorder="1" applyAlignment="1">
      <alignment horizontal="center" vertical="center" wrapText="1"/>
    </xf>
    <xf numFmtId="0" fontId="52" fillId="28" borderId="17" xfId="0" applyFont="1" applyFill="1" applyBorder="1" applyAlignment="1">
      <alignment vertical="center" wrapText="1"/>
    </xf>
    <xf numFmtId="10" fontId="52" fillId="28" borderId="17" xfId="29" applyNumberFormat="1" applyFont="1" applyFill="1" applyBorder="1" applyAlignment="1" applyProtection="1">
      <alignment horizontal="right" vertical="center" wrapText="1"/>
    </xf>
    <xf numFmtId="0" fontId="37" fillId="28" borderId="17" xfId="0" applyFont="1" applyFill="1" applyBorder="1" applyAlignment="1">
      <alignment horizontal="center" vertical="center" wrapText="1"/>
    </xf>
    <xf numFmtId="49" fontId="52" fillId="28" borderId="17" xfId="0" applyNumberFormat="1" applyFont="1" applyFill="1" applyBorder="1" applyAlignment="1">
      <alignment horizontal="center" vertical="center" wrapText="1"/>
    </xf>
    <xf numFmtId="49" fontId="37" fillId="28" borderId="17" xfId="0" applyNumberFormat="1" applyFont="1" applyFill="1" applyBorder="1" applyAlignment="1">
      <alignment horizontal="center" vertical="center" wrapText="1"/>
    </xf>
    <xf numFmtId="49" fontId="52" fillId="28" borderId="17" xfId="0" applyNumberFormat="1" applyFont="1" applyFill="1" applyBorder="1" applyAlignment="1">
      <alignment vertical="center" wrapText="1"/>
    </xf>
    <xf numFmtId="49" fontId="37" fillId="28" borderId="58" xfId="0" applyNumberFormat="1" applyFont="1" applyFill="1" applyBorder="1" applyAlignment="1">
      <alignment horizontal="center" vertical="center" wrapText="1"/>
    </xf>
    <xf numFmtId="49" fontId="52" fillId="28" borderId="58" xfId="0" applyNumberFormat="1" applyFont="1" applyFill="1" applyBorder="1" applyAlignment="1">
      <alignment horizontal="center" vertical="center" wrapText="1"/>
    </xf>
    <xf numFmtId="10" fontId="52" fillId="28" borderId="58" xfId="29" applyNumberFormat="1" applyFont="1" applyFill="1" applyBorder="1" applyAlignment="1" applyProtection="1">
      <alignment horizontal="right" vertical="center" wrapText="1"/>
    </xf>
    <xf numFmtId="49" fontId="37" fillId="36" borderId="17" xfId="0" applyNumberFormat="1" applyFont="1" applyFill="1" applyBorder="1" applyAlignment="1">
      <alignment horizontal="right" vertical="center" wrapText="1"/>
    </xf>
    <xf numFmtId="49" fontId="52" fillId="36" borderId="17" xfId="0" applyNumberFormat="1" applyFont="1" applyFill="1" applyBorder="1" applyAlignment="1">
      <alignment horizontal="center" vertical="center" wrapText="1"/>
    </xf>
    <xf numFmtId="49" fontId="37" fillId="36" borderId="17" xfId="0" applyNumberFormat="1" applyFont="1" applyFill="1" applyBorder="1" applyAlignment="1">
      <alignment vertical="center" wrapText="1"/>
    </xf>
    <xf numFmtId="4" fontId="37" fillId="36" borderId="17" xfId="29" applyNumberFormat="1" applyFont="1" applyFill="1" applyBorder="1" applyAlignment="1" applyProtection="1">
      <alignment horizontal="right" vertical="center" wrapText="1"/>
    </xf>
    <xf numFmtId="10" fontId="37" fillId="36" borderId="17" xfId="29" applyNumberFormat="1" applyFont="1" applyFill="1" applyBorder="1" applyAlignment="1" applyProtection="1">
      <alignment horizontal="right" vertical="center" wrapText="1"/>
    </xf>
    <xf numFmtId="4" fontId="37" fillId="36" borderId="58" xfId="29" applyNumberFormat="1" applyFont="1" applyFill="1" applyBorder="1" applyAlignment="1" applyProtection="1">
      <alignment horizontal="right" vertical="center" wrapText="1"/>
    </xf>
    <xf numFmtId="49" fontId="37" fillId="27" borderId="17" xfId="0" applyNumberFormat="1" applyFont="1" applyFill="1" applyBorder="1" applyAlignment="1">
      <alignment horizontal="center" vertical="center" wrapText="1"/>
    </xf>
    <xf numFmtId="49" fontId="37" fillId="27" borderId="17" xfId="0" applyNumberFormat="1" applyFont="1" applyFill="1" applyBorder="1" applyAlignment="1">
      <alignment vertical="center" wrapText="1"/>
    </xf>
    <xf numFmtId="4" fontId="37" fillId="27" borderId="17" xfId="29" applyNumberFormat="1" applyFont="1" applyFill="1" applyBorder="1" applyAlignment="1" applyProtection="1">
      <alignment horizontal="right" vertical="center" wrapText="1"/>
    </xf>
    <xf numFmtId="10" fontId="37" fillId="27" borderId="17" xfId="29" applyNumberFormat="1" applyFont="1" applyFill="1" applyBorder="1" applyAlignment="1" applyProtection="1">
      <alignment horizontal="right" vertical="center" wrapText="1"/>
    </xf>
    <xf numFmtId="10" fontId="37" fillId="27" borderId="58" xfId="29" applyNumberFormat="1" applyFont="1" applyFill="1" applyBorder="1" applyAlignment="1" applyProtection="1">
      <alignment horizontal="right" vertical="center" wrapText="1"/>
    </xf>
    <xf numFmtId="4" fontId="37" fillId="27" borderId="58" xfId="29" applyNumberFormat="1" applyFont="1" applyFill="1" applyBorder="1" applyAlignment="1" applyProtection="1">
      <alignment horizontal="right" vertical="center" wrapText="1"/>
    </xf>
    <xf numFmtId="0" fontId="52" fillId="27" borderId="17" xfId="0" applyFont="1" applyFill="1" applyBorder="1" applyAlignment="1">
      <alignment horizontal="center"/>
    </xf>
    <xf numFmtId="0" fontId="37" fillId="27" borderId="17" xfId="0" applyFont="1" applyFill="1" applyBorder="1" applyAlignment="1">
      <alignment horizontal="center" vertical="center" wrapText="1"/>
    </xf>
    <xf numFmtId="0" fontId="37" fillId="27" borderId="17" xfId="0" applyFont="1" applyFill="1" applyBorder="1" applyAlignment="1">
      <alignment vertical="center" wrapText="1"/>
    </xf>
    <xf numFmtId="4" fontId="37" fillId="27" borderId="17" xfId="0" applyNumberFormat="1" applyFont="1" applyFill="1" applyBorder="1" applyAlignment="1">
      <alignment horizontal="right" vertical="center" wrapText="1"/>
    </xf>
    <xf numFmtId="4" fontId="37" fillId="27" borderId="17" xfId="48" applyNumberFormat="1" applyFont="1" applyFill="1" applyBorder="1" applyAlignment="1">
      <alignment horizontal="right" vertical="center" wrapText="1"/>
    </xf>
    <xf numFmtId="10" fontId="37" fillId="27" borderId="17" xfId="48" applyNumberFormat="1" applyFont="1" applyFill="1" applyBorder="1" applyAlignment="1">
      <alignment horizontal="center" vertical="center" wrapText="1"/>
    </xf>
    <xf numFmtId="10" fontId="37" fillId="27" borderId="17" xfId="0" applyNumberFormat="1" applyFont="1" applyFill="1" applyBorder="1" applyAlignment="1">
      <alignment horizontal="right" vertical="center" wrapText="1"/>
    </xf>
    <xf numFmtId="4" fontId="37" fillId="27" borderId="58" xfId="0" applyNumberFormat="1" applyFont="1" applyFill="1" applyBorder="1" applyAlignment="1">
      <alignment horizontal="right" vertical="center" wrapText="1"/>
    </xf>
    <xf numFmtId="49" fontId="37" fillId="31" borderId="17" xfId="0" applyNumberFormat="1" applyFont="1" applyFill="1" applyBorder="1" applyAlignment="1">
      <alignment horizontal="center" vertical="center" wrapText="1"/>
    </xf>
    <xf numFmtId="49" fontId="52" fillId="31" borderId="17" xfId="0" applyNumberFormat="1" applyFont="1" applyFill="1" applyBorder="1" applyAlignment="1">
      <alignment horizontal="center" vertical="center" wrapText="1"/>
    </xf>
    <xf numFmtId="49" fontId="37" fillId="31" borderId="17" xfId="0" applyNumberFormat="1" applyFont="1" applyFill="1" applyBorder="1" applyAlignment="1">
      <alignment vertical="center" wrapText="1"/>
    </xf>
    <xf numFmtId="4" fontId="37" fillId="31" borderId="17" xfId="29" applyNumberFormat="1" applyFont="1" applyFill="1" applyBorder="1" applyAlignment="1" applyProtection="1">
      <alignment horizontal="right" vertical="center" wrapText="1"/>
    </xf>
    <xf numFmtId="10" fontId="37" fillId="31" borderId="17" xfId="29" applyNumberFormat="1" applyFont="1" applyFill="1" applyBorder="1" applyAlignment="1" applyProtection="1">
      <alignment horizontal="right" vertical="center" wrapText="1"/>
    </xf>
    <xf numFmtId="10" fontId="37" fillId="31" borderId="58" xfId="29" applyNumberFormat="1" applyFont="1" applyFill="1" applyBorder="1" applyAlignment="1" applyProtection="1">
      <alignment horizontal="right" vertical="center" wrapText="1"/>
    </xf>
    <xf numFmtId="4" fontId="37" fillId="31" borderId="58" xfId="29" applyNumberFormat="1" applyFont="1" applyFill="1" applyBorder="1" applyAlignment="1" applyProtection="1">
      <alignment horizontal="right" vertical="center" wrapText="1"/>
    </xf>
    <xf numFmtId="49" fontId="37" fillId="31" borderId="17" xfId="0" applyNumberFormat="1" applyFont="1" applyFill="1" applyBorder="1" applyAlignment="1">
      <alignment horizontal="right" vertical="center" wrapText="1"/>
    </xf>
    <xf numFmtId="49" fontId="37" fillId="37" borderId="17" xfId="0" applyNumberFormat="1" applyFont="1" applyFill="1" applyBorder="1" applyAlignment="1">
      <alignment horizontal="center" vertical="center" wrapText="1"/>
    </xf>
    <xf numFmtId="49" fontId="52" fillId="37" borderId="17" xfId="0" applyNumberFormat="1" applyFont="1" applyFill="1" applyBorder="1" applyAlignment="1">
      <alignment horizontal="center" vertical="center" wrapText="1"/>
    </xf>
    <xf numFmtId="49" fontId="37" fillId="37" borderId="17" xfId="0" applyNumberFormat="1" applyFont="1" applyFill="1" applyBorder="1" applyAlignment="1">
      <alignment vertical="center" wrapText="1"/>
    </xf>
    <xf numFmtId="4" fontId="37" fillId="37" borderId="17" xfId="29" applyNumberFormat="1" applyFont="1" applyFill="1" applyBorder="1" applyAlignment="1" applyProtection="1">
      <alignment horizontal="right" vertical="center" wrapText="1"/>
    </xf>
    <xf numFmtId="4" fontId="37" fillId="37" borderId="17" xfId="48" applyNumberFormat="1" applyFont="1" applyFill="1" applyBorder="1" applyAlignment="1" applyProtection="1">
      <alignment horizontal="right" vertical="center" wrapText="1"/>
    </xf>
    <xf numFmtId="10" fontId="37" fillId="37" borderId="17" xfId="48" applyNumberFormat="1" applyFont="1" applyFill="1" applyBorder="1" applyAlignment="1" applyProtection="1">
      <alignment horizontal="center" vertical="center" wrapText="1"/>
    </xf>
    <xf numFmtId="10" fontId="37" fillId="37" borderId="17" xfId="29" applyNumberFormat="1" applyFont="1" applyFill="1" applyBorder="1" applyAlignment="1" applyProtection="1">
      <alignment horizontal="right" vertical="center" wrapText="1"/>
    </xf>
    <xf numFmtId="4" fontId="37" fillId="37" borderId="58" xfId="29" applyNumberFormat="1" applyFont="1" applyFill="1" applyBorder="1" applyAlignment="1" applyProtection="1">
      <alignment horizontal="right" vertical="center" wrapText="1"/>
    </xf>
    <xf numFmtId="0" fontId="37" fillId="31" borderId="17" xfId="0" applyFont="1" applyFill="1" applyBorder="1" applyAlignment="1">
      <alignment horizontal="right" vertical="center" wrapText="1"/>
    </xf>
    <xf numFmtId="0" fontId="52" fillId="31" borderId="17" xfId="0" applyFont="1" applyFill="1" applyBorder="1" applyAlignment="1">
      <alignment horizontal="center" vertical="center" wrapText="1"/>
    </xf>
    <xf numFmtId="0" fontId="37" fillId="31" borderId="17" xfId="0" applyFont="1" applyFill="1" applyBorder="1" applyAlignment="1">
      <alignment vertical="center" wrapText="1"/>
    </xf>
    <xf numFmtId="0" fontId="37" fillId="31" borderId="17" xfId="0" applyFont="1" applyFill="1" applyBorder="1" applyAlignment="1">
      <alignment horizontal="center" vertical="center" wrapText="1"/>
    </xf>
    <xf numFmtId="49" fontId="37" fillId="27" borderId="19" xfId="0" applyNumberFormat="1" applyFont="1" applyFill="1" applyBorder="1" applyAlignment="1">
      <alignment horizontal="left" vertical="center" wrapText="1"/>
    </xf>
    <xf numFmtId="49" fontId="37" fillId="27" borderId="19" xfId="0" applyNumberFormat="1" applyFont="1" applyFill="1" applyBorder="1" applyAlignment="1">
      <alignment horizontal="center" wrapText="1"/>
    </xf>
    <xf numFmtId="4" fontId="37" fillId="27" borderId="19" xfId="29" applyNumberFormat="1" applyFont="1" applyFill="1" applyBorder="1" applyAlignment="1" applyProtection="1">
      <alignment horizontal="right" vertical="center" wrapText="1"/>
    </xf>
    <xf numFmtId="4" fontId="37" fillId="27" borderId="19" xfId="48" applyNumberFormat="1" applyFont="1" applyFill="1" applyBorder="1" applyAlignment="1" applyProtection="1">
      <alignment horizontal="right" vertical="center" wrapText="1"/>
    </xf>
    <xf numFmtId="10" fontId="37" fillId="27" borderId="19" xfId="48" applyNumberFormat="1" applyFont="1" applyFill="1" applyBorder="1" applyAlignment="1" applyProtection="1">
      <alignment horizontal="center" vertical="center" wrapText="1"/>
    </xf>
    <xf numFmtId="4" fontId="37" fillId="27" borderId="56" xfId="29" applyNumberFormat="1" applyFont="1" applyFill="1" applyBorder="1" applyAlignment="1" applyProtection="1">
      <alignment horizontal="right" vertical="center" wrapText="1"/>
    </xf>
    <xf numFmtId="49" fontId="37" fillId="27" borderId="17" xfId="0" applyNumberFormat="1" applyFont="1" applyFill="1" applyBorder="1" applyAlignment="1">
      <alignment horizontal="left" wrapText="1"/>
    </xf>
    <xf numFmtId="49" fontId="37" fillId="27" borderId="17" xfId="0" applyNumberFormat="1" applyFont="1" applyFill="1" applyBorder="1" applyAlignment="1">
      <alignment horizontal="center" wrapText="1"/>
    </xf>
    <xf numFmtId="49" fontId="37" fillId="27" borderId="17" xfId="0" applyNumberFormat="1" applyFont="1" applyFill="1" applyBorder="1" applyAlignment="1">
      <alignment horizontal="left" vertical="center" wrapText="1"/>
    </xf>
    <xf numFmtId="0" fontId="37" fillId="37" borderId="17" xfId="0" applyFont="1" applyFill="1" applyBorder="1" applyAlignment="1">
      <alignment horizontal="center" vertical="center" wrapText="1"/>
    </xf>
    <xf numFmtId="0" fontId="37" fillId="37" borderId="17" xfId="0" applyFont="1" applyFill="1" applyBorder="1" applyAlignment="1">
      <alignment horizontal="left" vertical="center" wrapText="1"/>
    </xf>
    <xf numFmtId="49" fontId="38" fillId="28" borderId="0" xfId="0" applyNumberFormat="1" applyFont="1" applyFill="1" applyBorder="1" applyAlignment="1">
      <alignment horizontal="center"/>
    </xf>
    <xf numFmtId="0" fontId="49" fillId="28" borderId="0" xfId="0" applyFont="1" applyFill="1"/>
    <xf numFmtId="4" fontId="38" fillId="28" borderId="0" xfId="29" applyNumberFormat="1" applyFont="1" applyFill="1" applyBorder="1" applyAlignment="1" applyProtection="1">
      <alignment horizontal="right" vertical="center" wrapText="1"/>
    </xf>
    <xf numFmtId="4" fontId="38" fillId="28" borderId="0" xfId="48" applyNumberFormat="1" applyFont="1" applyFill="1" applyBorder="1" applyAlignment="1" applyProtection="1">
      <alignment horizontal="right" vertical="center" wrapText="1"/>
    </xf>
    <xf numFmtId="10" fontId="38" fillId="28" borderId="0" xfId="48" applyNumberFormat="1" applyFont="1" applyFill="1" applyBorder="1" applyAlignment="1" applyProtection="1">
      <alignment horizontal="right" vertical="center" wrapText="1"/>
    </xf>
    <xf numFmtId="10" fontId="38" fillId="28" borderId="0" xfId="29" applyNumberFormat="1" applyFont="1" applyFill="1" applyBorder="1" applyAlignment="1" applyProtection="1">
      <alignment horizontal="right" vertical="center" wrapText="1"/>
    </xf>
    <xf numFmtId="4" fontId="58" fillId="28" borderId="0" xfId="29" applyNumberFormat="1" applyFont="1" applyFill="1" applyBorder="1" applyAlignment="1" applyProtection="1">
      <alignment horizontal="right" vertical="center" wrapText="1"/>
    </xf>
    <xf numFmtId="10" fontId="40" fillId="28" borderId="0" xfId="29" applyNumberFormat="1" applyFont="1" applyFill="1" applyBorder="1" applyAlignment="1" applyProtection="1">
      <alignment horizontal="right" vertical="center" wrapText="1"/>
    </xf>
    <xf numFmtId="0" fontId="0" fillId="28" borderId="0" xfId="0" applyFill="1"/>
    <xf numFmtId="4" fontId="53" fillId="28" borderId="50" xfId="47" applyNumberFormat="1" applyFont="1" applyFill="1" applyBorder="1" applyAlignment="1">
      <alignment vertical="center"/>
    </xf>
    <xf numFmtId="10" fontId="53" fillId="28" borderId="50" xfId="47" applyNumberFormat="1" applyFont="1" applyFill="1" applyBorder="1" applyAlignment="1">
      <alignment vertical="center"/>
    </xf>
    <xf numFmtId="10" fontId="58" fillId="0" borderId="0" xfId="29" applyNumberFormat="1" applyFont="1" applyFill="1" applyBorder="1" applyAlignment="1" applyProtection="1">
      <alignment horizontal="right" vertical="center" wrapText="1"/>
    </xf>
    <xf numFmtId="0" fontId="60" fillId="0" borderId="17" xfId="0" applyFont="1" applyBorder="1" applyAlignment="1">
      <alignment horizontal="center"/>
    </xf>
    <xf numFmtId="0" fontId="60" fillId="0" borderId="17" xfId="0" applyFont="1" applyBorder="1" applyAlignment="1">
      <alignment horizontal="left" wrapText="1"/>
    </xf>
    <xf numFmtId="4" fontId="60" fillId="0" borderId="17" xfId="47" applyNumberFormat="1" applyFont="1" applyBorder="1" applyAlignment="1">
      <alignment vertical="center"/>
    </xf>
    <xf numFmtId="10" fontId="60" fillId="0" borderId="17" xfId="47" applyNumberFormat="1" applyFont="1" applyBorder="1" applyAlignment="1">
      <alignment vertical="center"/>
    </xf>
    <xf numFmtId="4" fontId="60" fillId="0" borderId="17" xfId="0" applyNumberFormat="1" applyFont="1" applyBorder="1" applyAlignment="1">
      <alignment vertical="center"/>
    </xf>
    <xf numFmtId="10" fontId="60" fillId="0" borderId="17" xfId="0" applyNumberFormat="1" applyFont="1" applyBorder="1" applyAlignment="1">
      <alignment vertical="center"/>
    </xf>
    <xf numFmtId="4" fontId="37" fillId="37" borderId="50" xfId="29" applyNumberFormat="1" applyFont="1" applyFill="1" applyBorder="1" applyAlignment="1" applyProtection="1">
      <alignment horizontal="right" vertical="center" wrapText="1"/>
    </xf>
    <xf numFmtId="4" fontId="37" fillId="31" borderId="50" xfId="29" applyNumberFormat="1" applyFont="1" applyFill="1" applyBorder="1" applyAlignment="1" applyProtection="1">
      <alignment horizontal="right" vertical="center" wrapText="1"/>
    </xf>
    <xf numFmtId="10" fontId="37" fillId="31" borderId="57" xfId="29" applyNumberFormat="1" applyFont="1" applyFill="1" applyBorder="1" applyAlignment="1" applyProtection="1">
      <alignment horizontal="right" vertical="center" wrapText="1"/>
    </xf>
    <xf numFmtId="4" fontId="37" fillId="27" borderId="50" xfId="29" applyNumberFormat="1" applyFont="1" applyFill="1" applyBorder="1" applyAlignment="1" applyProtection="1">
      <alignment horizontal="right" vertical="center" wrapText="1"/>
    </xf>
    <xf numFmtId="10" fontId="37" fillId="27" borderId="57" xfId="29" applyNumberFormat="1" applyFont="1" applyFill="1" applyBorder="1" applyAlignment="1" applyProtection="1">
      <alignment horizontal="right" vertical="center" wrapText="1"/>
    </xf>
    <xf numFmtId="4" fontId="37" fillId="27" borderId="50" xfId="0" applyNumberFormat="1" applyFont="1" applyFill="1" applyBorder="1" applyAlignment="1">
      <alignment horizontal="right" vertical="center" wrapText="1"/>
    </xf>
    <xf numFmtId="10" fontId="37" fillId="27" borderId="57" xfId="0" applyNumberFormat="1" applyFont="1" applyFill="1" applyBorder="1" applyAlignment="1">
      <alignment horizontal="right" vertical="center" wrapText="1"/>
    </xf>
    <xf numFmtId="10" fontId="37" fillId="37" borderId="57" xfId="29" applyNumberFormat="1" applyFont="1" applyFill="1" applyBorder="1" applyAlignment="1" applyProtection="1">
      <alignment horizontal="right" vertical="center" wrapText="1"/>
    </xf>
    <xf numFmtId="49" fontId="52" fillId="31" borderId="58" xfId="0" applyNumberFormat="1" applyFont="1" applyFill="1" applyBorder="1" applyAlignment="1">
      <alignment horizontal="center" vertical="center" wrapText="1"/>
    </xf>
    <xf numFmtId="49" fontId="37" fillId="31" borderId="58" xfId="0" applyNumberFormat="1" applyFont="1" applyFill="1" applyBorder="1" applyAlignment="1">
      <alignment horizontal="right" vertical="center" wrapText="1"/>
    </xf>
    <xf numFmtId="49" fontId="37" fillId="28" borderId="19" xfId="0" applyNumberFormat="1" applyFont="1" applyFill="1" applyBorder="1" applyAlignment="1">
      <alignment horizontal="left" vertical="center" wrapText="1"/>
    </xf>
    <xf numFmtId="4" fontId="37" fillId="28" borderId="19" xfId="29" applyNumberFormat="1" applyFont="1" applyFill="1" applyBorder="1" applyAlignment="1" applyProtection="1">
      <alignment horizontal="right" vertical="center" wrapText="1"/>
    </xf>
    <xf numFmtId="4" fontId="37" fillId="28" borderId="19" xfId="48" applyNumberFormat="1" applyFont="1" applyFill="1" applyBorder="1" applyAlignment="1" applyProtection="1">
      <alignment horizontal="right" vertical="center" wrapText="1"/>
    </xf>
    <xf numFmtId="10" fontId="37" fillId="28" borderId="19" xfId="48" applyNumberFormat="1" applyFont="1" applyFill="1" applyBorder="1" applyAlignment="1" applyProtection="1">
      <alignment horizontal="center" vertical="center" wrapText="1"/>
    </xf>
    <xf numFmtId="4" fontId="37" fillId="28" borderId="58" xfId="29" applyNumberFormat="1" applyFont="1" applyFill="1" applyBorder="1" applyAlignment="1" applyProtection="1">
      <alignment horizontal="right" vertical="center" wrapText="1"/>
    </xf>
    <xf numFmtId="10" fontId="37" fillId="28" borderId="58" xfId="29" applyNumberFormat="1" applyFont="1" applyFill="1" applyBorder="1" applyAlignment="1" applyProtection="1">
      <alignment horizontal="right" vertical="center" wrapText="1"/>
    </xf>
    <xf numFmtId="10" fontId="37" fillId="27" borderId="19" xfId="29" applyNumberFormat="1" applyFont="1" applyFill="1" applyBorder="1" applyAlignment="1" applyProtection="1">
      <alignment horizontal="right" vertical="center" wrapText="1"/>
    </xf>
    <xf numFmtId="10" fontId="37" fillId="27" borderId="56" xfId="29" applyNumberFormat="1" applyFont="1" applyFill="1" applyBorder="1" applyAlignment="1" applyProtection="1">
      <alignment horizontal="right" vertical="center" wrapText="1"/>
    </xf>
    <xf numFmtId="10" fontId="37" fillId="28" borderId="19" xfId="29" applyNumberFormat="1" applyFont="1" applyFill="1" applyBorder="1" applyAlignment="1" applyProtection="1">
      <alignment horizontal="right" vertical="center" wrapText="1"/>
    </xf>
    <xf numFmtId="10" fontId="37" fillId="37" borderId="58" xfId="29" applyNumberFormat="1" applyFont="1" applyFill="1" applyBorder="1" applyAlignment="1" applyProtection="1">
      <alignment horizontal="right" vertical="center" wrapText="1"/>
    </xf>
    <xf numFmtId="4" fontId="64" fillId="0" borderId="0" xfId="0" applyNumberFormat="1" applyFont="1"/>
    <xf numFmtId="0" fontId="52" fillId="28" borderId="58" xfId="0" applyFont="1" applyFill="1" applyBorder="1" applyAlignment="1">
      <alignment horizontal="center" vertical="center" wrapText="1"/>
    </xf>
    <xf numFmtId="49" fontId="52" fillId="28" borderId="58" xfId="0" applyNumberFormat="1" applyFont="1" applyFill="1" applyBorder="1" applyAlignment="1">
      <alignment vertical="center" wrapText="1"/>
    </xf>
    <xf numFmtId="0" fontId="41" fillId="0" borderId="0" xfId="0" applyFont="1" applyAlignment="1">
      <alignment horizontal="center"/>
    </xf>
    <xf numFmtId="49" fontId="37" fillId="0" borderId="58" xfId="0" applyNumberFormat="1" applyFont="1" applyFill="1" applyBorder="1" applyAlignment="1">
      <alignment horizontal="center" vertical="center" wrapText="1"/>
    </xf>
    <xf numFmtId="49" fontId="52" fillId="0" borderId="58" xfId="0" applyNumberFormat="1" applyFont="1" applyFill="1" applyBorder="1" applyAlignment="1">
      <alignment vertical="center" wrapText="1"/>
    </xf>
    <xf numFmtId="4" fontId="55" fillId="0" borderId="0" xfId="0" applyNumberFormat="1" applyFont="1"/>
    <xf numFmtId="0" fontId="0" fillId="29" borderId="64" xfId="0" applyFill="1" applyBorder="1"/>
    <xf numFmtId="0" fontId="41" fillId="0" borderId="12" xfId="0" applyFont="1" applyBorder="1"/>
    <xf numFmtId="10" fontId="41" fillId="0" borderId="12" xfId="0" applyNumberFormat="1" applyFont="1" applyBorder="1"/>
    <xf numFmtId="4" fontId="46" fillId="0" borderId="12" xfId="47" applyNumberFormat="1" applyFont="1" applyBorder="1"/>
    <xf numFmtId="4" fontId="46" fillId="0" borderId="12" xfId="0" applyNumberFormat="1" applyFont="1" applyBorder="1"/>
    <xf numFmtId="4" fontId="41" fillId="0" borderId="12" xfId="0" applyNumberFormat="1" applyFont="1" applyBorder="1"/>
    <xf numFmtId="165" fontId="39" fillId="28" borderId="12" xfId="0" applyNumberFormat="1" applyFont="1" applyFill="1" applyBorder="1" applyAlignment="1">
      <alignment horizontal="right"/>
    </xf>
    <xf numFmtId="0" fontId="39" fillId="0" borderId="12" xfId="0" applyFont="1" applyBorder="1" applyAlignment="1">
      <alignment vertical="center" wrapText="1"/>
    </xf>
    <xf numFmtId="0" fontId="39" fillId="0" borderId="0" xfId="0" applyFont="1" applyAlignment="1">
      <alignment horizontal="center" vertical="center" wrapText="1"/>
    </xf>
    <xf numFmtId="10" fontId="39" fillId="28" borderId="12" xfId="0" applyNumberFormat="1" applyFont="1" applyFill="1" applyBorder="1" applyAlignment="1">
      <alignment horizontal="right"/>
    </xf>
    <xf numFmtId="10" fontId="37" fillId="27" borderId="58" xfId="0" applyNumberFormat="1" applyFont="1" applyFill="1" applyBorder="1" applyAlignment="1">
      <alignment horizontal="right" vertical="center" wrapText="1"/>
    </xf>
    <xf numFmtId="49" fontId="46" fillId="0" borderId="58" xfId="0" applyNumberFormat="1" applyFont="1" applyBorder="1" applyAlignment="1" applyProtection="1">
      <alignment horizontal="center" vertical="center"/>
    </xf>
    <xf numFmtId="0" fontId="45" fillId="0" borderId="58" xfId="0" applyFont="1" applyFill="1" applyBorder="1" applyAlignment="1" applyProtection="1">
      <alignment horizontal="left" wrapText="1"/>
    </xf>
    <xf numFmtId="4" fontId="45" fillId="0" borderId="58" xfId="47" applyNumberFormat="1" applyFont="1" applyFill="1" applyBorder="1" applyAlignment="1" applyProtection="1">
      <alignment vertical="center"/>
    </xf>
    <xf numFmtId="10" fontId="45" fillId="0" borderId="58" xfId="47" applyNumberFormat="1" applyFont="1" applyFill="1" applyBorder="1" applyAlignment="1" applyProtection="1">
      <alignment vertical="center"/>
    </xf>
    <xf numFmtId="4" fontId="45" fillId="0" borderId="58" xfId="0" applyNumberFormat="1" applyFont="1" applyFill="1" applyBorder="1" applyAlignment="1" applyProtection="1">
      <alignment vertical="center"/>
    </xf>
    <xf numFmtId="4" fontId="70" fillId="28" borderId="19" xfId="29" applyNumberFormat="1" applyFont="1" applyFill="1" applyBorder="1" applyAlignment="1" applyProtection="1">
      <alignment horizontal="right" vertical="center" wrapText="1"/>
    </xf>
    <xf numFmtId="4" fontId="70" fillId="28" borderId="19" xfId="48" applyNumberFormat="1" applyFont="1" applyFill="1" applyBorder="1" applyAlignment="1" applyProtection="1">
      <alignment horizontal="right" vertical="center" wrapText="1"/>
    </xf>
    <xf numFmtId="10" fontId="70" fillId="28" borderId="19" xfId="48" applyNumberFormat="1" applyFont="1" applyFill="1" applyBorder="1" applyAlignment="1" applyProtection="1">
      <alignment horizontal="center" vertical="center" wrapText="1"/>
    </xf>
    <xf numFmtId="4" fontId="70" fillId="28" borderId="58" xfId="29" applyNumberFormat="1" applyFont="1" applyFill="1" applyBorder="1" applyAlignment="1" applyProtection="1">
      <alignment horizontal="right" vertical="center" wrapText="1"/>
    </xf>
    <xf numFmtId="10" fontId="70" fillId="28" borderId="58" xfId="29" applyNumberFormat="1" applyFont="1" applyFill="1" applyBorder="1" applyAlignment="1" applyProtection="1">
      <alignment horizontal="right" vertical="center" wrapText="1"/>
    </xf>
    <xf numFmtId="10" fontId="70" fillId="28" borderId="19" xfId="29" applyNumberFormat="1" applyFont="1" applyFill="1" applyBorder="1" applyAlignment="1" applyProtection="1">
      <alignment horizontal="right" vertical="center" wrapText="1"/>
    </xf>
    <xf numFmtId="49" fontId="70" fillId="28" borderId="19" xfId="0" applyNumberFormat="1" applyFont="1" applyFill="1" applyBorder="1" applyAlignment="1">
      <alignment horizontal="center" wrapText="1"/>
    </xf>
    <xf numFmtId="165" fontId="39" fillId="28" borderId="0" xfId="0" applyNumberFormat="1" applyFont="1" applyFill="1" applyBorder="1" applyAlignment="1">
      <alignment horizontal="right"/>
    </xf>
    <xf numFmtId="4" fontId="52" fillId="28" borderId="50" xfId="29" applyNumberFormat="1" applyFont="1" applyFill="1" applyBorder="1" applyAlignment="1" applyProtection="1">
      <alignment horizontal="right" vertical="center" wrapText="1"/>
    </xf>
    <xf numFmtId="10" fontId="52" fillId="28" borderId="57" xfId="29" applyNumberFormat="1" applyFont="1" applyFill="1" applyBorder="1" applyAlignment="1" applyProtection="1">
      <alignment horizontal="right" vertical="center" wrapText="1"/>
    </xf>
    <xf numFmtId="10" fontId="52" fillId="28" borderId="19" xfId="29" applyNumberFormat="1" applyFont="1" applyFill="1" applyBorder="1" applyAlignment="1" applyProtection="1">
      <alignment horizontal="right" vertical="center" wrapText="1"/>
    </xf>
    <xf numFmtId="0" fontId="41" fillId="0" borderId="0" xfId="0" applyFont="1" applyAlignment="1">
      <alignment horizontal="center"/>
    </xf>
    <xf numFmtId="1" fontId="43" fillId="0" borderId="11" xfId="47" applyNumberFormat="1" applyFont="1" applyFill="1" applyBorder="1" applyAlignment="1">
      <alignment horizontal="center" vertical="center" wrapText="1"/>
    </xf>
    <xf numFmtId="1" fontId="46" fillId="0" borderId="0" xfId="0" applyNumberFormat="1" applyFont="1"/>
    <xf numFmtId="1" fontId="66" fillId="0" borderId="11" xfId="1" applyNumberFormat="1" applyFont="1" applyFill="1" applyBorder="1" applyAlignment="1">
      <alignment horizontal="center" vertical="center" wrapText="1"/>
    </xf>
    <xf numFmtId="1" fontId="66" fillId="0" borderId="11" xfId="47" applyNumberFormat="1" applyFont="1" applyFill="1" applyBorder="1" applyAlignment="1">
      <alignment horizontal="center" vertical="center" wrapText="1"/>
    </xf>
    <xf numFmtId="4" fontId="1" fillId="0" borderId="10" xfId="29" applyNumberFormat="1" applyFont="1" applyFill="1" applyBorder="1" applyAlignment="1" applyProtection="1">
      <alignment horizontal="right" vertical="center" wrapText="1"/>
    </xf>
    <xf numFmtId="0" fontId="55" fillId="0" borderId="0" xfId="0" applyFont="1" applyAlignment="1">
      <alignment horizontal="left"/>
    </xf>
    <xf numFmtId="0" fontId="55" fillId="0" borderId="0" xfId="0" applyFont="1" applyAlignment="1">
      <alignment horizontal="center"/>
    </xf>
    <xf numFmtId="0" fontId="55" fillId="0" borderId="11" xfId="0" applyFont="1" applyBorder="1" applyAlignment="1">
      <alignment horizontal="center" vertical="center" textRotation="90" wrapText="1"/>
    </xf>
    <xf numFmtId="0" fontId="55" fillId="0" borderId="11" xfId="0" applyFont="1" applyBorder="1" applyAlignment="1">
      <alignment horizontal="center"/>
    </xf>
    <xf numFmtId="0" fontId="55" fillId="0" borderId="11" xfId="0" applyFont="1" applyBorder="1" applyAlignment="1">
      <alignment horizontal="center" vertical="center"/>
    </xf>
    <xf numFmtId="4" fontId="55" fillId="0" borderId="11" xfId="0" applyNumberFormat="1" applyFont="1" applyBorder="1"/>
    <xf numFmtId="4" fontId="55" fillId="0" borderId="11" xfId="0" applyNumberFormat="1" applyFont="1" applyBorder="1" applyAlignment="1">
      <alignment horizontal="right"/>
    </xf>
    <xf numFmtId="4" fontId="55" fillId="0" borderId="11" xfId="0" applyNumberFormat="1" applyFont="1" applyBorder="1" applyAlignment="1">
      <alignment horizontal="right" vertical="center"/>
    </xf>
    <xf numFmtId="0" fontId="55" fillId="28" borderId="11" xfId="0" applyFont="1" applyFill="1" applyBorder="1" applyAlignment="1">
      <alignment horizontal="center" vertical="center"/>
    </xf>
    <xf numFmtId="4" fontId="55" fillId="28" borderId="11" xfId="0" applyNumberFormat="1" applyFont="1" applyFill="1" applyBorder="1" applyAlignment="1">
      <alignment horizontal="right" vertical="center"/>
    </xf>
    <xf numFmtId="0" fontId="65" fillId="0" borderId="0" xfId="0" applyFont="1"/>
    <xf numFmtId="0" fontId="65" fillId="0" borderId="0" xfId="0" applyFont="1" applyAlignment="1">
      <alignment horizontal="center"/>
    </xf>
    <xf numFmtId="0" fontId="65" fillId="0" borderId="0" xfId="0" applyFont="1" applyAlignment="1">
      <alignment wrapText="1"/>
    </xf>
    <xf numFmtId="10" fontId="65" fillId="0" borderId="0" xfId="0" applyNumberFormat="1" applyFont="1"/>
    <xf numFmtId="4" fontId="46" fillId="0" borderId="0" xfId="0" applyNumberFormat="1" applyFont="1" applyAlignment="1">
      <alignment horizontal="center"/>
    </xf>
    <xf numFmtId="4" fontId="54" fillId="0" borderId="0" xfId="0" applyNumberFormat="1" applyFont="1" applyAlignment="1">
      <alignment horizontal="center" vertical="center"/>
    </xf>
    <xf numFmtId="4" fontId="72" fillId="0" borderId="0" xfId="0" applyNumberFormat="1" applyFont="1" applyAlignment="1">
      <alignment horizontal="center"/>
    </xf>
    <xf numFmtId="0" fontId="46" fillId="0" borderId="46" xfId="0" applyFont="1" applyBorder="1"/>
    <xf numFmtId="3" fontId="35" fillId="28" borderId="58" xfId="49" applyNumberFormat="1" applyFont="1" applyFill="1" applyBorder="1" applyAlignment="1">
      <alignment horizontal="left" vertical="center" wrapText="1"/>
    </xf>
    <xf numFmtId="1" fontId="46" fillId="0" borderId="65" xfId="0" applyNumberFormat="1" applyFont="1" applyBorder="1"/>
    <xf numFmtId="0" fontId="52" fillId="0" borderId="17" xfId="0" applyFont="1" applyBorder="1" applyAlignment="1">
      <alignment horizontal="center" vertical="center"/>
    </xf>
    <xf numFmtId="0" fontId="45" fillId="0" borderId="17" xfId="0" applyFont="1" applyFill="1" applyBorder="1" applyAlignment="1" applyProtection="1">
      <alignment horizontal="center" vertical="center"/>
    </xf>
    <xf numFmtId="0" fontId="45" fillId="0" borderId="19" xfId="0" applyFont="1" applyFill="1" applyBorder="1" applyAlignment="1" applyProtection="1">
      <alignment horizontal="center" vertical="center"/>
    </xf>
    <xf numFmtId="171" fontId="41" fillId="0" borderId="0" xfId="0" applyNumberFormat="1" applyFont="1"/>
    <xf numFmtId="4" fontId="53" fillId="0" borderId="0" xfId="0" applyNumberFormat="1" applyFont="1"/>
    <xf numFmtId="0" fontId="45" fillId="0" borderId="17" xfId="0" applyFont="1" applyFill="1" applyBorder="1" applyAlignment="1" applyProtection="1">
      <alignment horizontal="left" vertical="center" wrapText="1"/>
    </xf>
    <xf numFmtId="4" fontId="55" fillId="0" borderId="11" xfId="0" applyNumberFormat="1" applyFont="1" applyBorder="1" applyAlignment="1">
      <alignment vertical="center"/>
    </xf>
    <xf numFmtId="0" fontId="54" fillId="0" borderId="11" xfId="0" applyFont="1" applyBorder="1" applyAlignment="1">
      <alignment horizontal="center" vertical="center" textRotation="90" wrapText="1"/>
    </xf>
    <xf numFmtId="0" fontId="73" fillId="0" borderId="50" xfId="0" applyFont="1" applyFill="1" applyBorder="1" applyAlignment="1">
      <alignment horizontal="center" vertical="center" textRotation="90" wrapText="1"/>
    </xf>
    <xf numFmtId="0" fontId="73" fillId="0" borderId="21" xfId="0" applyFont="1" applyBorder="1" applyAlignment="1">
      <alignment horizontal="center" vertical="center" textRotation="90" wrapText="1"/>
    </xf>
    <xf numFmtId="4" fontId="0" fillId="0" borderId="11" xfId="0" applyNumberFormat="1" applyBorder="1"/>
    <xf numFmtId="0" fontId="23" fillId="0" borderId="0" xfId="0" applyFont="1"/>
    <xf numFmtId="4" fontId="23" fillId="0" borderId="0" xfId="0" applyNumberFormat="1" applyFont="1"/>
    <xf numFmtId="0" fontId="23" fillId="0" borderId="0" xfId="0" applyFont="1" applyAlignment="1"/>
    <xf numFmtId="0" fontId="65" fillId="0" borderId="11" xfId="0" applyFont="1" applyBorder="1" applyAlignment="1">
      <alignment horizontal="center" vertical="center"/>
    </xf>
    <xf numFmtId="4" fontId="59" fillId="0" borderId="11" xfId="0" applyNumberFormat="1" applyFont="1" applyBorder="1"/>
    <xf numFmtId="4" fontId="65" fillId="0" borderId="11" xfId="0" applyNumberFormat="1" applyFont="1" applyBorder="1" applyAlignment="1">
      <alignment horizontal="right" vertical="center"/>
    </xf>
    <xf numFmtId="4" fontId="65" fillId="0" borderId="11" xfId="0" applyNumberFormat="1" applyFont="1" applyBorder="1"/>
    <xf numFmtId="0" fontId="65" fillId="28" borderId="11" xfId="0" applyFont="1" applyFill="1" applyBorder="1" applyAlignment="1">
      <alignment horizontal="center" vertical="center"/>
    </xf>
    <xf numFmtId="4" fontId="65" fillId="28" borderId="11" xfId="0" applyNumberFormat="1" applyFont="1" applyFill="1" applyBorder="1" applyAlignment="1">
      <alignment horizontal="right" vertical="center"/>
    </xf>
    <xf numFmtId="4" fontId="65" fillId="0" borderId="11" xfId="0" applyNumberFormat="1" applyFont="1" applyBorder="1" applyAlignment="1">
      <alignment horizontal="center" vertical="center"/>
    </xf>
    <xf numFmtId="4" fontId="59" fillId="0" borderId="11" xfId="0" applyNumberFormat="1" applyFont="1" applyBorder="1" applyAlignment="1">
      <alignment vertical="center"/>
    </xf>
    <xf numFmtId="4" fontId="59" fillId="28" borderId="11" xfId="0" applyNumberFormat="1" applyFont="1" applyFill="1" applyBorder="1" applyAlignment="1">
      <alignment vertical="center"/>
    </xf>
    <xf numFmtId="4" fontId="65" fillId="0" borderId="11" xfId="0" applyNumberFormat="1" applyFont="1" applyBorder="1" applyAlignment="1">
      <alignment vertical="center"/>
    </xf>
    <xf numFmtId="4" fontId="59" fillId="0" borderId="11" xfId="0" applyNumberFormat="1" applyFont="1" applyBorder="1" applyAlignment="1"/>
    <xf numFmtId="0" fontId="41" fillId="0" borderId="0" xfId="0" applyFont="1" applyAlignment="1">
      <alignment horizontal="center"/>
    </xf>
    <xf numFmtId="0" fontId="41" fillId="0" borderId="0" xfId="0" applyFont="1" applyAlignment="1">
      <alignment horizontal="left" wrapText="1"/>
    </xf>
    <xf numFmtId="0" fontId="41" fillId="0" borderId="11" xfId="0" applyFont="1" applyBorder="1" applyAlignment="1">
      <alignment horizontal="center"/>
    </xf>
    <xf numFmtId="0" fontId="41" fillId="0" borderId="34" xfId="0" applyFont="1" applyBorder="1" applyAlignment="1">
      <alignment horizontal="left"/>
    </xf>
    <xf numFmtId="0" fontId="41" fillId="0" borderId="63" xfId="0" applyFont="1" applyBorder="1" applyAlignment="1">
      <alignment horizontal="left"/>
    </xf>
    <xf numFmtId="0" fontId="41" fillId="0" borderId="14" xfId="0" applyFont="1" applyBorder="1" applyAlignment="1">
      <alignment horizontal="left"/>
    </xf>
    <xf numFmtId="4" fontId="41" fillId="0" borderId="11" xfId="0" applyNumberFormat="1" applyFont="1" applyBorder="1" applyAlignment="1"/>
    <xf numFmtId="0" fontId="42" fillId="0" borderId="11" xfId="0" applyFont="1" applyBorder="1" applyAlignment="1">
      <alignment horizontal="center"/>
    </xf>
    <xf numFmtId="4" fontId="42" fillId="0" borderId="11" xfId="0" applyNumberFormat="1" applyFont="1" applyBorder="1" applyAlignment="1">
      <alignment horizontal="right"/>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42" fillId="0" borderId="11" xfId="0" applyFont="1" applyBorder="1" applyAlignment="1">
      <alignment vertical="center"/>
    </xf>
    <xf numFmtId="4" fontId="42" fillId="0" borderId="11" xfId="0" applyNumberFormat="1" applyFont="1" applyBorder="1" applyAlignment="1"/>
    <xf numFmtId="4" fontId="41" fillId="0" borderId="0" xfId="47" applyNumberFormat="1" applyFont="1"/>
    <xf numFmtId="4" fontId="41" fillId="0" borderId="11" xfId="0" applyNumberFormat="1" applyFont="1" applyBorder="1" applyAlignment="1">
      <alignment horizontal="center"/>
    </xf>
    <xf numFmtId="10" fontId="41" fillId="0" borderId="11" xfId="0" applyNumberFormat="1" applyFont="1" applyBorder="1" applyAlignment="1">
      <alignment horizontal="center"/>
    </xf>
    <xf numFmtId="4" fontId="41" fillId="0" borderId="11" xfId="47" applyNumberFormat="1" applyFont="1" applyBorder="1" applyAlignment="1">
      <alignment horizontal="right"/>
    </xf>
    <xf numFmtId="4" fontId="41" fillId="0" borderId="11" xfId="0" applyNumberFormat="1" applyFont="1" applyBorder="1"/>
    <xf numFmtId="10" fontId="41" fillId="0" borderId="11" xfId="0" applyNumberFormat="1" applyFont="1" applyBorder="1"/>
    <xf numFmtId="4" fontId="41" fillId="0" borderId="11" xfId="47" applyNumberFormat="1" applyFont="1" applyBorder="1"/>
    <xf numFmtId="4" fontId="42" fillId="0" borderId="11" xfId="0" applyNumberFormat="1" applyFont="1" applyBorder="1"/>
    <xf numFmtId="10" fontId="42" fillId="0" borderId="11" xfId="0" applyNumberFormat="1" applyFont="1" applyBorder="1"/>
    <xf numFmtId="4" fontId="42" fillId="0" borderId="11" xfId="47" applyNumberFormat="1" applyFont="1" applyBorder="1"/>
    <xf numFmtId="0" fontId="46" fillId="0" borderId="0" xfId="0" applyFont="1" applyAlignment="1"/>
    <xf numFmtId="0" fontId="41" fillId="0" borderId="11" xfId="0" applyFont="1" applyBorder="1" applyAlignment="1">
      <alignment vertical="center"/>
    </xf>
    <xf numFmtId="4" fontId="41" fillId="0" borderId="11" xfId="0" applyNumberFormat="1" applyFont="1" applyBorder="1" applyAlignment="1">
      <alignment horizontal="right" vertical="center"/>
    </xf>
    <xf numFmtId="4" fontId="41" fillId="0" borderId="11" xfId="0" applyNumberFormat="1" applyFont="1" applyBorder="1" applyAlignment="1">
      <alignment horizontal="right"/>
    </xf>
    <xf numFmtId="0" fontId="40" fillId="30" borderId="0" xfId="0" applyFont="1" applyFill="1" applyBorder="1" applyAlignment="1">
      <alignment horizontal="left" wrapText="1"/>
    </xf>
    <xf numFmtId="49" fontId="0" fillId="0" borderId="0" xfId="0" applyNumberFormat="1"/>
    <xf numFmtId="1" fontId="64" fillId="0" borderId="0" xfId="0" applyNumberFormat="1" applyFont="1" applyAlignment="1">
      <alignment horizontal="center"/>
    </xf>
    <xf numFmtId="49" fontId="64" fillId="0" borderId="0" xfId="0" applyNumberFormat="1" applyFont="1"/>
    <xf numFmtId="4" fontId="69" fillId="0" borderId="0" xfId="0" applyNumberFormat="1" applyFont="1"/>
    <xf numFmtId="0" fontId="0" fillId="0" borderId="0" xfId="0" applyAlignment="1">
      <alignment horizontal="center"/>
    </xf>
    <xf numFmtId="4" fontId="0" fillId="0" borderId="66" xfId="0" applyNumberFormat="1" applyBorder="1"/>
    <xf numFmtId="4" fontId="69" fillId="0" borderId="66" xfId="0" applyNumberFormat="1" applyFont="1" applyBorder="1"/>
    <xf numFmtId="4" fontId="0" fillId="0" borderId="0" xfId="0" applyNumberFormat="1" applyBorder="1"/>
    <xf numFmtId="4" fontId="69" fillId="0" borderId="0" xfId="0" applyNumberFormat="1" applyFont="1" applyBorder="1"/>
    <xf numFmtId="4" fontId="69" fillId="0" borderId="57" xfId="0" applyNumberFormat="1" applyFont="1" applyBorder="1"/>
    <xf numFmtId="4" fontId="0" fillId="0" borderId="67" xfId="0" applyNumberFormat="1" applyBorder="1"/>
    <xf numFmtId="4" fontId="0" fillId="0" borderId="12" xfId="0" applyNumberFormat="1" applyBorder="1"/>
    <xf numFmtId="4" fontId="69" fillId="0" borderId="67" xfId="0" applyNumberFormat="1" applyFont="1" applyBorder="1"/>
    <xf numFmtId="4" fontId="69" fillId="0" borderId="12" xfId="0" applyNumberFormat="1" applyFont="1" applyBorder="1"/>
    <xf numFmtId="4" fontId="69" fillId="0" borderId="68" xfId="0" applyNumberFormat="1" applyFont="1" applyBorder="1"/>
    <xf numFmtId="4" fontId="0" fillId="0" borderId="34" xfId="0" applyNumberFormat="1" applyBorder="1" applyAlignment="1">
      <alignment horizontal="center" vertical="center" wrapText="1"/>
    </xf>
    <xf numFmtId="4" fontId="0" fillId="0" borderId="63" xfId="0" applyNumberFormat="1" applyBorder="1" applyAlignment="1">
      <alignment horizontal="center" vertical="center" wrapText="1"/>
    </xf>
    <xf numFmtId="0" fontId="0" fillId="0" borderId="63" xfId="0" applyBorder="1" applyAlignment="1">
      <alignment horizontal="center" vertical="center" wrapText="1"/>
    </xf>
    <xf numFmtId="0" fontId="75" fillId="0" borderId="34"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14" xfId="0" applyFont="1" applyBorder="1" applyAlignment="1">
      <alignment horizontal="center" vertical="center" wrapText="1"/>
    </xf>
    <xf numFmtId="0" fontId="0" fillId="0" borderId="11" xfId="0" applyBorder="1"/>
    <xf numFmtId="0" fontId="0" fillId="0" borderId="11" xfId="0" applyBorder="1" applyAlignment="1">
      <alignment horizontal="center"/>
    </xf>
    <xf numFmtId="4" fontId="64" fillId="0" borderId="11" xfId="0" applyNumberFormat="1" applyFont="1" applyBorder="1"/>
    <xf numFmtId="0" fontId="64" fillId="0" borderId="11" xfId="0" applyFont="1" applyBorder="1" applyAlignment="1">
      <alignment horizontal="center"/>
    </xf>
    <xf numFmtId="4" fontId="0" fillId="0" borderId="0" xfId="0" applyNumberFormat="1" applyFont="1"/>
    <xf numFmtId="4" fontId="59" fillId="0" borderId="11" xfId="0" applyNumberFormat="1" applyFont="1" applyBorder="1" applyAlignment="1">
      <alignment horizontal="center"/>
    </xf>
    <xf numFmtId="4" fontId="0" fillId="0" borderId="0" xfId="0" applyNumberFormat="1" applyAlignment="1">
      <alignment horizontal="center"/>
    </xf>
    <xf numFmtId="0" fontId="55" fillId="0" borderId="0" xfId="0" applyFont="1" applyAlignment="1">
      <alignment horizontal="center"/>
    </xf>
    <xf numFmtId="165" fontId="39" fillId="28" borderId="0" xfId="0" applyNumberFormat="1" applyFont="1" applyFill="1" applyAlignment="1">
      <alignment horizontal="center"/>
    </xf>
    <xf numFmtId="10" fontId="37" fillId="38" borderId="21" xfId="0" applyNumberFormat="1" applyFont="1" applyFill="1" applyBorder="1" applyAlignment="1">
      <alignment horizontal="center" vertical="center" wrapText="1"/>
    </xf>
    <xf numFmtId="10" fontId="37" fillId="38" borderId="49" xfId="0" applyNumberFormat="1" applyFont="1" applyFill="1" applyBorder="1" applyAlignment="1">
      <alignment horizontal="center" vertical="center" wrapText="1"/>
    </xf>
    <xf numFmtId="0" fontId="36" fillId="0" borderId="0" xfId="0" applyFont="1"/>
    <xf numFmtId="0" fontId="36" fillId="0" borderId="0" xfId="0" applyFont="1" applyBorder="1"/>
    <xf numFmtId="0" fontId="23" fillId="0" borderId="11" xfId="0" applyFont="1" applyBorder="1" applyAlignment="1">
      <alignment horizontal="center" vertical="center"/>
    </xf>
    <xf numFmtId="0" fontId="23" fillId="0" borderId="11" xfId="0" applyFont="1" applyBorder="1"/>
    <xf numFmtId="0" fontId="23" fillId="0" borderId="11" xfId="0" applyFont="1" applyBorder="1" applyAlignment="1">
      <alignment horizontal="center" vertical="center" wrapText="1"/>
    </xf>
    <xf numFmtId="170" fontId="23" fillId="0" borderId="11" xfId="0" applyNumberFormat="1" applyFont="1" applyBorder="1"/>
    <xf numFmtId="0" fontId="23" fillId="32" borderId="11" xfId="0" applyFont="1" applyFill="1" applyBorder="1"/>
    <xf numFmtId="3" fontId="23" fillId="0" borderId="11" xfId="0" applyNumberFormat="1" applyFont="1" applyBorder="1" applyAlignment="1">
      <alignment horizontal="right"/>
    </xf>
    <xf numFmtId="0" fontId="23" fillId="33" borderId="11" xfId="0" applyFont="1" applyFill="1" applyBorder="1"/>
    <xf numFmtId="0" fontId="23" fillId="0" borderId="11" xfId="0" applyFont="1" applyFill="1" applyBorder="1"/>
    <xf numFmtId="4" fontId="52" fillId="28" borderId="17" xfId="48" applyNumberFormat="1" applyFont="1" applyFill="1" applyBorder="1" applyAlignment="1" applyProtection="1">
      <alignment horizontal="right" vertical="center" wrapText="1"/>
    </xf>
    <xf numFmtId="10" fontId="52" fillId="28" borderId="17" xfId="48" applyNumberFormat="1" applyFont="1" applyFill="1" applyBorder="1" applyAlignment="1" applyProtection="1">
      <alignment horizontal="center" vertical="center" wrapText="1"/>
    </xf>
    <xf numFmtId="3" fontId="23" fillId="0" borderId="11" xfId="0" applyNumberFormat="1" applyFont="1" applyBorder="1"/>
    <xf numFmtId="0" fontId="36" fillId="0" borderId="11" xfId="0" applyFont="1" applyBorder="1" applyAlignment="1">
      <alignment horizontal="left" vertical="center"/>
    </xf>
    <xf numFmtId="3" fontId="36" fillId="0" borderId="11" xfId="0" applyNumberFormat="1" applyFont="1" applyBorder="1" applyAlignment="1">
      <alignment vertical="center"/>
    </xf>
    <xf numFmtId="165" fontId="23" fillId="0" borderId="0" xfId="0" applyNumberFormat="1" applyFont="1"/>
    <xf numFmtId="0" fontId="52" fillId="33" borderId="17" xfId="0" applyFont="1" applyFill="1" applyBorder="1" applyAlignment="1">
      <alignment horizontal="center" vertical="center" wrapText="1"/>
    </xf>
    <xf numFmtId="4" fontId="52" fillId="0" borderId="17" xfId="48" applyNumberFormat="1" applyFont="1" applyFill="1" applyBorder="1" applyAlignment="1" applyProtection="1">
      <alignment horizontal="right" vertical="center" wrapText="1"/>
    </xf>
    <xf numFmtId="10" fontId="52" fillId="0" borderId="17" xfId="48" applyNumberFormat="1" applyFont="1" applyFill="1" applyBorder="1" applyAlignment="1" applyProtection="1">
      <alignment horizontal="center" vertical="center" wrapText="1"/>
    </xf>
    <xf numFmtId="0" fontId="52" fillId="28" borderId="11" xfId="0" applyFont="1" applyFill="1" applyBorder="1" applyAlignment="1">
      <alignment vertical="center" wrapText="1"/>
    </xf>
    <xf numFmtId="0" fontId="52" fillId="28" borderId="58" xfId="0" applyFont="1" applyFill="1" applyBorder="1" applyAlignment="1">
      <alignment vertical="center" wrapText="1"/>
    </xf>
    <xf numFmtId="4" fontId="52" fillId="28" borderId="58" xfId="48" applyNumberFormat="1" applyFont="1" applyFill="1" applyBorder="1" applyAlignment="1" applyProtection="1">
      <alignment horizontal="right" vertical="center" wrapText="1"/>
    </xf>
    <xf numFmtId="10" fontId="52" fillId="28" borderId="58" xfId="48" applyNumberFormat="1" applyFont="1" applyFill="1" applyBorder="1" applyAlignment="1" applyProtection="1">
      <alignment horizontal="center" vertical="center" wrapText="1"/>
    </xf>
    <xf numFmtId="4" fontId="37" fillId="36" borderId="17" xfId="48" applyNumberFormat="1" applyFont="1" applyFill="1" applyBorder="1" applyAlignment="1" applyProtection="1">
      <alignment horizontal="right" vertical="center" wrapText="1"/>
    </xf>
    <xf numFmtId="10" fontId="37" fillId="36" borderId="17" xfId="48" applyNumberFormat="1" applyFont="1" applyFill="1" applyBorder="1" applyAlignment="1" applyProtection="1">
      <alignment horizontal="center" vertical="center" wrapText="1"/>
    </xf>
    <xf numFmtId="4" fontId="52" fillId="0" borderId="58" xfId="48" applyNumberFormat="1" applyFont="1" applyFill="1" applyBorder="1" applyAlignment="1" applyProtection="1">
      <alignment horizontal="right" vertical="center" wrapText="1"/>
    </xf>
    <xf numFmtId="10" fontId="52" fillId="0" borderId="58" xfId="48" applyNumberFormat="1" applyFont="1" applyFill="1" applyBorder="1" applyAlignment="1" applyProtection="1">
      <alignment horizontal="center" vertical="center" wrapText="1"/>
    </xf>
    <xf numFmtId="4" fontId="70" fillId="0" borderId="0" xfId="0" applyNumberFormat="1" applyFont="1" applyAlignment="1">
      <alignment vertical="center"/>
    </xf>
    <xf numFmtId="49" fontId="37" fillId="31" borderId="58" xfId="0" applyNumberFormat="1" applyFont="1" applyFill="1" applyBorder="1" applyAlignment="1">
      <alignment vertical="center" wrapText="1"/>
    </xf>
    <xf numFmtId="4" fontId="37" fillId="31" borderId="58" xfId="48" applyNumberFormat="1" applyFont="1" applyFill="1" applyBorder="1" applyAlignment="1" applyProtection="1">
      <alignment horizontal="right" vertical="center" wrapText="1"/>
    </xf>
    <xf numFmtId="10" fontId="37" fillId="31" borderId="58" xfId="48" applyNumberFormat="1" applyFont="1" applyFill="1" applyBorder="1" applyAlignment="1" applyProtection="1">
      <alignment horizontal="center" vertical="center" wrapText="1"/>
    </xf>
    <xf numFmtId="49" fontId="52" fillId="20" borderId="17" xfId="0" applyNumberFormat="1" applyFont="1" applyFill="1" applyBorder="1" applyAlignment="1">
      <alignment horizontal="center" vertical="center" wrapText="1"/>
    </xf>
    <xf numFmtId="49" fontId="37" fillId="20" borderId="17" xfId="0" applyNumberFormat="1" applyFont="1" applyFill="1" applyBorder="1" applyAlignment="1">
      <alignment vertical="center" wrapText="1"/>
    </xf>
    <xf numFmtId="4" fontId="37" fillId="20" borderId="17" xfId="48" applyNumberFormat="1" applyFont="1" applyFill="1" applyBorder="1" applyAlignment="1" applyProtection="1">
      <alignment horizontal="right" vertical="center" wrapText="1"/>
    </xf>
    <xf numFmtId="10" fontId="37" fillId="20" borderId="17" xfId="48" applyNumberFormat="1" applyFont="1" applyFill="1" applyBorder="1" applyAlignment="1" applyProtection="1">
      <alignment horizontal="center" vertical="center" wrapText="1"/>
    </xf>
    <xf numFmtId="0" fontId="37" fillId="31" borderId="17" xfId="0" applyFont="1" applyFill="1" applyBorder="1" applyAlignment="1">
      <alignment wrapText="1"/>
    </xf>
    <xf numFmtId="0" fontId="52" fillId="0" borderId="58" xfId="0" applyFont="1" applyBorder="1"/>
    <xf numFmtId="0" fontId="52" fillId="0" borderId="58" xfId="0" applyFont="1" applyBorder="1" applyAlignment="1">
      <alignment wrapText="1"/>
    </xf>
    <xf numFmtId="4" fontId="37" fillId="26" borderId="17" xfId="48" applyNumberFormat="1" applyFont="1" applyFill="1" applyBorder="1" applyAlignment="1">
      <alignment horizontal="right" vertical="top" wrapText="1"/>
    </xf>
    <xf numFmtId="10" fontId="37" fillId="26" borderId="17" xfId="48" applyNumberFormat="1" applyFont="1" applyFill="1" applyBorder="1" applyAlignment="1">
      <alignment horizontal="center" vertical="top" wrapText="1"/>
    </xf>
    <xf numFmtId="4" fontId="37" fillId="26" borderId="17" xfId="48" applyNumberFormat="1" applyFont="1" applyFill="1" applyBorder="1" applyAlignment="1" applyProtection="1">
      <alignment horizontal="right" vertical="center" wrapText="1"/>
    </xf>
    <xf numFmtId="10" fontId="37" fillId="26" borderId="17" xfId="48" applyNumberFormat="1" applyFont="1" applyFill="1" applyBorder="1" applyAlignment="1" applyProtection="1">
      <alignment horizontal="center" vertical="center" wrapText="1"/>
    </xf>
    <xf numFmtId="4" fontId="37" fillId="27" borderId="17" xfId="48" applyNumberFormat="1" applyFont="1" applyFill="1" applyBorder="1" applyAlignment="1" applyProtection="1">
      <alignment horizontal="right" vertical="center" wrapText="1"/>
    </xf>
    <xf numFmtId="10" fontId="37" fillId="27" borderId="17" xfId="48" applyNumberFormat="1" applyFont="1" applyFill="1" applyBorder="1" applyAlignment="1" applyProtection="1">
      <alignment horizontal="center" vertical="center" wrapText="1"/>
    </xf>
    <xf numFmtId="4" fontId="23" fillId="0" borderId="0" xfId="0" applyNumberFormat="1" applyFont="1" applyAlignment="1">
      <alignment horizontal="left"/>
    </xf>
    <xf numFmtId="0" fontId="23" fillId="0" borderId="0" xfId="0" applyFont="1" applyAlignment="1">
      <alignment wrapText="1"/>
    </xf>
    <xf numFmtId="4" fontId="23" fillId="0" borderId="0" xfId="0" applyNumberFormat="1" applyFont="1" applyAlignment="1">
      <alignment horizontal="right"/>
    </xf>
    <xf numFmtId="3" fontId="23" fillId="0" borderId="0" xfId="0" applyNumberFormat="1" applyFont="1" applyAlignment="1">
      <alignment horizontal="right"/>
    </xf>
    <xf numFmtId="10" fontId="23" fillId="0" borderId="0" xfId="0" applyNumberFormat="1" applyFont="1" applyAlignment="1">
      <alignment horizontal="right"/>
    </xf>
    <xf numFmtId="0" fontId="23" fillId="0" borderId="0" xfId="0" applyFont="1" applyAlignment="1">
      <alignment horizontal="right"/>
    </xf>
    <xf numFmtId="10" fontId="23" fillId="0" borderId="0" xfId="0" applyNumberFormat="1" applyFont="1"/>
    <xf numFmtId="4" fontId="74" fillId="0" borderId="0" xfId="0" applyNumberFormat="1" applyFont="1"/>
    <xf numFmtId="0" fontId="55" fillId="0" borderId="0" xfId="0" applyFont="1" applyAlignment="1"/>
    <xf numFmtId="10" fontId="37" fillId="38" borderId="21" xfId="0" applyNumberFormat="1" applyFont="1" applyFill="1" applyBorder="1" applyAlignment="1">
      <alignment horizontal="center" vertical="center" wrapText="1"/>
    </xf>
    <xf numFmtId="10" fontId="37" fillId="38" borderId="49" xfId="0" applyNumberFormat="1" applyFont="1" applyFill="1" applyBorder="1" applyAlignment="1">
      <alignment horizontal="center" vertical="center" wrapText="1"/>
    </xf>
    <xf numFmtId="165" fontId="39" fillId="28" borderId="0" xfId="0" applyNumberFormat="1" applyFont="1" applyFill="1" applyAlignment="1">
      <alignment horizontal="center"/>
    </xf>
    <xf numFmtId="0" fontId="65" fillId="0" borderId="11" xfId="0" applyFont="1" applyBorder="1" applyAlignment="1">
      <alignment vertical="center" wrapText="1"/>
    </xf>
    <xf numFmtId="0" fontId="65" fillId="28" borderId="11" xfId="0" applyFont="1" applyFill="1" applyBorder="1" applyAlignment="1">
      <alignment vertical="center" wrapText="1"/>
    </xf>
    <xf numFmtId="0" fontId="59" fillId="0" borderId="63" xfId="0" applyFont="1" applyBorder="1" applyAlignment="1"/>
    <xf numFmtId="0" fontId="65" fillId="0" borderId="63" xfId="0" applyFont="1" applyBorder="1" applyAlignment="1">
      <alignment vertical="center" wrapText="1"/>
    </xf>
    <xf numFmtId="10" fontId="37" fillId="38" borderId="21" xfId="0" applyNumberFormat="1" applyFont="1" applyFill="1" applyBorder="1" applyAlignment="1">
      <alignment horizontal="center" vertical="center" wrapText="1"/>
    </xf>
    <xf numFmtId="165" fontId="39" fillId="28" borderId="0" xfId="0" applyNumberFormat="1" applyFont="1" applyFill="1" applyAlignment="1">
      <alignment horizontal="center"/>
    </xf>
    <xf numFmtId="0" fontId="59" fillId="27" borderId="0" xfId="0" applyFont="1" applyFill="1" applyAlignment="1">
      <alignment horizontal="right" vertical="center"/>
    </xf>
    <xf numFmtId="0" fontId="59" fillId="28" borderId="0" xfId="0" applyFont="1" applyFill="1" applyAlignment="1">
      <alignment horizontal="right" vertical="center"/>
    </xf>
    <xf numFmtId="0" fontId="55" fillId="0" borderId="0" xfId="0" applyFont="1" applyAlignment="1">
      <alignment horizontal="center"/>
    </xf>
    <xf numFmtId="0" fontId="55" fillId="0" borderId="0" xfId="0" applyFont="1" applyAlignment="1">
      <alignment horizontal="left"/>
    </xf>
    <xf numFmtId="10" fontId="37" fillId="38" borderId="49" xfId="0" applyNumberFormat="1" applyFont="1" applyFill="1" applyBorder="1" applyAlignment="1">
      <alignment horizontal="center" vertical="center" wrapText="1"/>
    </xf>
    <xf numFmtId="0" fontId="41" fillId="0" borderId="0" xfId="0" applyFont="1" applyAlignment="1">
      <alignment horizontal="left"/>
    </xf>
    <xf numFmtId="0" fontId="41" fillId="0" borderId="0" xfId="0" applyFont="1" applyAlignment="1">
      <alignment horizontal="left" vertical="center"/>
    </xf>
    <xf numFmtId="0" fontId="41" fillId="0" borderId="0" xfId="0" applyFont="1" applyAlignment="1">
      <alignment horizontal="center" vertical="center"/>
    </xf>
    <xf numFmtId="49" fontId="41" fillId="0" borderId="0" xfId="0" applyNumberFormat="1" applyFont="1" applyAlignment="1">
      <alignment horizontal="center" vertical="center"/>
    </xf>
    <xf numFmtId="49" fontId="42" fillId="0" borderId="0" xfId="0" applyNumberFormat="1" applyFont="1" applyAlignment="1">
      <alignment horizontal="left" vertical="center"/>
    </xf>
    <xf numFmtId="0" fontId="42" fillId="0" borderId="0" xfId="0" applyFont="1" applyFill="1" applyAlignment="1">
      <alignment vertical="center" wrapText="1"/>
    </xf>
    <xf numFmtId="4" fontId="41" fillId="0" borderId="0" xfId="47" applyNumberFormat="1" applyFont="1" applyAlignment="1">
      <alignment horizontal="right" vertical="center"/>
    </xf>
    <xf numFmtId="10" fontId="41" fillId="0" borderId="0" xfId="47" applyNumberFormat="1" applyFont="1" applyAlignment="1">
      <alignment horizontal="right" vertical="center"/>
    </xf>
    <xf numFmtId="4" fontId="41" fillId="0" borderId="0" xfId="47" applyNumberFormat="1" applyFont="1" applyAlignment="1">
      <alignment vertical="center"/>
    </xf>
    <xf numFmtId="10" fontId="41" fillId="0" borderId="0" xfId="47" applyNumberFormat="1" applyFont="1" applyAlignment="1">
      <alignment vertical="center"/>
    </xf>
    <xf numFmtId="3" fontId="42" fillId="0" borderId="0" xfId="49" applyNumberFormat="1" applyFont="1" applyFill="1" applyBorder="1" applyAlignment="1">
      <alignment horizontal="center" vertical="center"/>
    </xf>
    <xf numFmtId="49" fontId="42" fillId="0" borderId="0" xfId="49" applyNumberFormat="1" applyFont="1" applyFill="1" applyBorder="1" applyAlignment="1">
      <alignment horizontal="center" vertical="center"/>
    </xf>
    <xf numFmtId="0" fontId="42" fillId="0" borderId="0" xfId="0" applyFont="1" applyFill="1" applyBorder="1" applyAlignment="1">
      <alignment horizontal="left"/>
    </xf>
    <xf numFmtId="0" fontId="42" fillId="0" borderId="0" xfId="0" applyFont="1" applyAlignment="1">
      <alignment horizontal="center" vertical="center"/>
    </xf>
    <xf numFmtId="49" fontId="42" fillId="0" borderId="0" xfId="0" applyNumberFormat="1" applyFont="1" applyAlignment="1">
      <alignment horizontal="center" vertical="center"/>
    </xf>
    <xf numFmtId="0" fontId="42" fillId="0" borderId="0" xfId="0" applyFont="1" applyBorder="1" applyAlignment="1">
      <alignment horizontal="center"/>
    </xf>
    <xf numFmtId="0" fontId="42" fillId="0" borderId="0" xfId="0" applyFont="1" applyFill="1" applyBorder="1" applyAlignment="1" applyProtection="1">
      <alignment wrapText="1"/>
    </xf>
    <xf numFmtId="4" fontId="41" fillId="0" borderId="0" xfId="47" applyNumberFormat="1" applyFont="1" applyFill="1" applyBorder="1" applyAlignment="1">
      <alignment horizontal="right" vertical="center"/>
    </xf>
    <xf numFmtId="10" fontId="41" fillId="0" borderId="0" xfId="47" applyNumberFormat="1" applyFont="1" applyFill="1" applyBorder="1" applyAlignment="1">
      <alignment horizontal="right" vertical="center"/>
    </xf>
    <xf numFmtId="4" fontId="41" fillId="0" borderId="0" xfId="47" applyNumberFormat="1" applyFont="1" applyFill="1" applyAlignment="1">
      <alignment vertical="center"/>
    </xf>
    <xf numFmtId="10" fontId="41" fillId="0" borderId="0" xfId="47" applyNumberFormat="1" applyFont="1" applyFill="1" applyAlignment="1">
      <alignment vertical="center"/>
    </xf>
    <xf numFmtId="0" fontId="76" fillId="0" borderId="0" xfId="0" applyFont="1" applyAlignment="1">
      <alignment horizontal="center" vertical="center"/>
    </xf>
    <xf numFmtId="49" fontId="76" fillId="0" borderId="0" xfId="0" applyNumberFormat="1" applyFont="1" applyAlignment="1">
      <alignment horizontal="center" vertical="center"/>
    </xf>
    <xf numFmtId="0" fontId="76"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0" xfId="0" applyFont="1" applyAlignment="1">
      <alignment horizontal="center" vertical="center" wrapText="1"/>
    </xf>
    <xf numFmtId="3" fontId="41" fillId="0" borderId="0" xfId="0" applyNumberFormat="1" applyFont="1" applyAlignment="1">
      <alignment horizontal="left" vertical="center" wrapText="1"/>
    </xf>
    <xf numFmtId="49" fontId="41" fillId="0" borderId="0" xfId="0" applyNumberFormat="1" applyFont="1" applyBorder="1" applyAlignment="1">
      <alignment horizontal="center" vertical="center" wrapText="1"/>
    </xf>
    <xf numFmtId="0" fontId="41" fillId="0" borderId="0" xfId="0" applyFont="1" applyBorder="1" applyAlignment="1">
      <alignment horizontal="center" vertical="center" wrapText="1"/>
    </xf>
    <xf numFmtId="3" fontId="42" fillId="0" borderId="32" xfId="1" applyNumberFormat="1" applyFont="1" applyFill="1" applyBorder="1" applyAlignment="1">
      <alignment horizontal="left" vertical="center" wrapText="1"/>
    </xf>
    <xf numFmtId="4" fontId="42" fillId="0" borderId="32" xfId="47" applyNumberFormat="1" applyFont="1" applyFill="1" applyBorder="1" applyAlignment="1">
      <alignment horizontal="right" vertical="center" wrapText="1"/>
    </xf>
    <xf numFmtId="10" fontId="42" fillId="0" borderId="32" xfId="47" applyNumberFormat="1" applyFont="1" applyFill="1" applyBorder="1" applyAlignment="1">
      <alignment horizontal="right" vertical="center" wrapText="1"/>
    </xf>
    <xf numFmtId="4" fontId="41" fillId="0" borderId="32" xfId="47" applyNumberFormat="1" applyFont="1" applyBorder="1" applyAlignment="1">
      <alignment horizontal="right" vertical="center" wrapText="1"/>
    </xf>
    <xf numFmtId="10" fontId="41" fillId="0" borderId="32" xfId="47" applyNumberFormat="1" applyFont="1" applyBorder="1" applyAlignment="1">
      <alignment horizontal="right" vertical="center" wrapText="1"/>
    </xf>
    <xf numFmtId="49" fontId="41" fillId="0" borderId="0" xfId="0" applyNumberFormat="1" applyFont="1" applyBorder="1" applyAlignment="1">
      <alignment horizontal="center" vertical="center"/>
    </xf>
    <xf numFmtId="0" fontId="41" fillId="0" borderId="0" xfId="1" applyNumberFormat="1" applyFont="1" applyBorder="1" applyAlignment="1">
      <alignment horizontal="center" vertical="center" wrapText="1"/>
    </xf>
    <xf numFmtId="3" fontId="41" fillId="0" borderId="0" xfId="1" applyNumberFormat="1" applyFont="1" applyFill="1" applyBorder="1" applyAlignment="1">
      <alignment horizontal="left" vertical="center" wrapText="1"/>
    </xf>
    <xf numFmtId="4" fontId="41" fillId="0" borderId="0" xfId="47" applyNumberFormat="1" applyFont="1" applyBorder="1" applyAlignment="1">
      <alignment horizontal="right" vertical="center"/>
    </xf>
    <xf numFmtId="10" fontId="41" fillId="0" borderId="0" xfId="47" applyNumberFormat="1" applyFont="1" applyBorder="1" applyAlignment="1">
      <alignment horizontal="right" vertical="center"/>
    </xf>
    <xf numFmtId="4" fontId="41" fillId="0" borderId="0" xfId="47" applyNumberFormat="1" applyFont="1" applyBorder="1" applyAlignment="1">
      <alignment vertical="center"/>
    </xf>
    <xf numFmtId="10" fontId="41" fillId="0" borderId="0" xfId="47" applyNumberFormat="1" applyFont="1" applyBorder="1" applyAlignment="1">
      <alignment vertical="center"/>
    </xf>
    <xf numFmtId="0" fontId="42" fillId="0" borderId="20" xfId="0" applyFont="1" applyBorder="1" applyAlignment="1">
      <alignment vertical="center" wrapText="1"/>
    </xf>
    <xf numFmtId="4" fontId="42" fillId="0" borderId="20" xfId="47" applyNumberFormat="1" applyFont="1" applyBorder="1" applyAlignment="1">
      <alignment horizontal="right" vertical="center"/>
    </xf>
    <xf numFmtId="10" fontId="42" fillId="0" borderId="20" xfId="47" applyNumberFormat="1" applyFont="1" applyBorder="1" applyAlignment="1">
      <alignment horizontal="right" vertical="center"/>
    </xf>
    <xf numFmtId="4" fontId="42" fillId="0" borderId="20" xfId="47" applyNumberFormat="1" applyFont="1" applyBorder="1" applyAlignment="1">
      <alignment vertical="center"/>
    </xf>
    <xf numFmtId="10" fontId="42" fillId="0" borderId="20" xfId="47" applyNumberFormat="1" applyFont="1" applyBorder="1" applyAlignment="1">
      <alignment vertical="center"/>
    </xf>
    <xf numFmtId="3" fontId="42" fillId="0" borderId="29" xfId="1" applyNumberFormat="1" applyFont="1" applyFill="1" applyBorder="1" applyAlignment="1">
      <alignment horizontal="left" vertical="center" wrapText="1"/>
    </xf>
    <xf numFmtId="4" fontId="42" fillId="0" borderId="29" xfId="47" applyNumberFormat="1" applyFont="1" applyFill="1" applyBorder="1" applyAlignment="1">
      <alignment horizontal="right" vertical="center" wrapText="1"/>
    </xf>
    <xf numFmtId="4" fontId="42" fillId="0" borderId="46" xfId="47" applyNumberFormat="1" applyFont="1" applyFill="1" applyBorder="1" applyAlignment="1">
      <alignment horizontal="right" vertical="center" wrapText="1"/>
    </xf>
    <xf numFmtId="10" fontId="42" fillId="0" borderId="46" xfId="47" applyNumberFormat="1" applyFont="1" applyFill="1" applyBorder="1" applyAlignment="1">
      <alignment horizontal="right" vertical="center" wrapText="1"/>
    </xf>
    <xf numFmtId="4" fontId="41" fillId="0" borderId="29" xfId="47" applyNumberFormat="1" applyFont="1" applyBorder="1" applyAlignment="1">
      <alignment horizontal="right" vertical="center" wrapText="1"/>
    </xf>
    <xf numFmtId="4" fontId="41" fillId="0" borderId="46" xfId="47" applyNumberFormat="1" applyFont="1" applyBorder="1" applyAlignment="1">
      <alignment horizontal="right" vertical="center" wrapText="1"/>
    </xf>
    <xf numFmtId="10" fontId="41" fillId="0" borderId="46" xfId="47" applyNumberFormat="1" applyFont="1" applyBorder="1" applyAlignment="1">
      <alignment horizontal="right" vertical="center" wrapText="1"/>
    </xf>
    <xf numFmtId="49" fontId="41" fillId="0" borderId="0" xfId="0" applyNumberFormat="1" applyFont="1" applyAlignment="1">
      <alignment horizontal="left" vertical="center"/>
    </xf>
    <xf numFmtId="0" fontId="42" fillId="0" borderId="0" xfId="0" applyFont="1" applyBorder="1" applyAlignment="1">
      <alignment vertical="center" wrapText="1"/>
    </xf>
    <xf numFmtId="4" fontId="42" fillId="0" borderId="0" xfId="47" applyNumberFormat="1" applyFont="1" applyBorder="1" applyAlignment="1">
      <alignment horizontal="right" vertical="center"/>
    </xf>
    <xf numFmtId="10" fontId="42" fillId="0" borderId="0" xfId="47" applyNumberFormat="1" applyFont="1" applyBorder="1" applyAlignment="1">
      <alignment horizontal="right" vertical="center"/>
    </xf>
    <xf numFmtId="4" fontId="42" fillId="0" borderId="0" xfId="47" applyNumberFormat="1" applyFont="1" applyBorder="1" applyAlignment="1">
      <alignment vertical="center"/>
    </xf>
    <xf numFmtId="10" fontId="42" fillId="0" borderId="0" xfId="47" applyNumberFormat="1" applyFont="1" applyBorder="1" applyAlignment="1">
      <alignment vertical="center"/>
    </xf>
    <xf numFmtId="3" fontId="41" fillId="28" borderId="48" xfId="0" applyNumberFormat="1" applyFont="1" applyFill="1" applyBorder="1" applyAlignment="1">
      <alignment horizontal="left" vertical="center" wrapText="1"/>
    </xf>
    <xf numFmtId="49" fontId="41" fillId="0" borderId="0" xfId="1" applyNumberFormat="1" applyFont="1" applyBorder="1" applyAlignment="1">
      <alignment horizontal="center" vertical="center" wrapText="1"/>
    </xf>
    <xf numFmtId="10" fontId="41" fillId="0" borderId="48" xfId="47" applyNumberFormat="1" applyFont="1" applyBorder="1" applyAlignment="1">
      <alignment vertical="center"/>
    </xf>
    <xf numFmtId="4" fontId="41" fillId="0" borderId="48" xfId="47" applyNumberFormat="1" applyFont="1" applyBorder="1" applyAlignment="1">
      <alignment vertical="center"/>
    </xf>
    <xf numFmtId="0" fontId="42" fillId="0" borderId="0" xfId="0" applyFont="1" applyFill="1" applyBorder="1" applyAlignment="1">
      <alignment horizontal="left" vertical="center"/>
    </xf>
    <xf numFmtId="3" fontId="42" fillId="0" borderId="0" xfId="1" applyNumberFormat="1" applyFont="1" applyFill="1" applyBorder="1" applyAlignment="1">
      <alignment horizontal="left" vertical="center" wrapText="1"/>
    </xf>
    <xf numFmtId="4" fontId="42" fillId="0" borderId="0" xfId="47" applyNumberFormat="1" applyFont="1" applyFill="1" applyBorder="1" applyAlignment="1">
      <alignment horizontal="right" vertical="center" wrapText="1"/>
    </xf>
    <xf numFmtId="10" fontId="42" fillId="0" borderId="0" xfId="47" applyNumberFormat="1" applyFont="1" applyFill="1" applyBorder="1" applyAlignment="1">
      <alignment horizontal="right" vertical="center" wrapText="1"/>
    </xf>
    <xf numFmtId="4" fontId="41" fillId="0" borderId="0" xfId="47" applyNumberFormat="1" applyFont="1" applyBorder="1" applyAlignment="1">
      <alignment horizontal="right" vertical="center" wrapText="1"/>
    </xf>
    <xf numFmtId="10" fontId="41" fillId="0" borderId="0" xfId="47" applyNumberFormat="1" applyFont="1" applyBorder="1" applyAlignment="1">
      <alignment horizontal="right" vertical="center" wrapText="1"/>
    </xf>
    <xf numFmtId="4" fontId="55" fillId="0" borderId="0" xfId="47" applyNumberFormat="1" applyFont="1" applyFill="1" applyBorder="1" applyAlignment="1">
      <alignment horizontal="right" vertical="center" wrapText="1"/>
    </xf>
    <xf numFmtId="0" fontId="41" fillId="0" borderId="0" xfId="0" applyFont="1" applyBorder="1"/>
    <xf numFmtId="4" fontId="41" fillId="40" borderId="0" xfId="0" applyNumberFormat="1" applyFont="1" applyFill="1" applyAlignment="1">
      <alignment horizontal="center"/>
    </xf>
    <xf numFmtId="4" fontId="41" fillId="39" borderId="0" xfId="0" applyNumberFormat="1" applyFont="1" applyFill="1" applyAlignment="1">
      <alignment horizontal="center"/>
    </xf>
    <xf numFmtId="4" fontId="54" fillId="41" borderId="0" xfId="0" applyNumberFormat="1" applyFont="1" applyFill="1"/>
    <xf numFmtId="4" fontId="54" fillId="42" borderId="0" xfId="0" applyNumberFormat="1" applyFont="1" applyFill="1"/>
    <xf numFmtId="4" fontId="41" fillId="0" borderId="0" xfId="0" applyNumberFormat="1" applyFont="1" applyAlignment="1">
      <alignment horizontal="center" vertical="center"/>
    </xf>
    <xf numFmtId="4" fontId="41" fillId="40" borderId="0" xfId="0" applyNumberFormat="1" applyFont="1" applyFill="1" applyAlignment="1">
      <alignment horizontal="right"/>
    </xf>
    <xf numFmtId="4" fontId="41" fillId="39" borderId="0" xfId="0" applyNumberFormat="1" applyFont="1" applyFill="1"/>
    <xf numFmtId="0" fontId="62" fillId="0" borderId="0" xfId="0" applyFont="1" applyAlignment="1">
      <alignment horizontal="center" vertical="center"/>
    </xf>
    <xf numFmtId="4" fontId="41" fillId="0" borderId="0" xfId="0" applyNumberFormat="1" applyFont="1" applyAlignment="1">
      <alignment horizontal="left" vertical="center"/>
    </xf>
    <xf numFmtId="0" fontId="41" fillId="0" borderId="0" xfId="0" applyFont="1" applyAlignment="1">
      <alignment vertical="center"/>
    </xf>
    <xf numFmtId="4" fontId="54" fillId="40" borderId="0" xfId="0" applyNumberFormat="1" applyFont="1" applyFill="1" applyAlignment="1">
      <alignment horizontal="center" vertical="center"/>
    </xf>
    <xf numFmtId="4" fontId="54" fillId="39" borderId="0" xfId="0" applyNumberFormat="1" applyFont="1" applyFill="1" applyAlignment="1">
      <alignment horizontal="center" vertical="center"/>
    </xf>
    <xf numFmtId="4" fontId="54" fillId="41" borderId="0" xfId="0" applyNumberFormat="1" applyFont="1" applyFill="1" applyAlignment="1">
      <alignment horizontal="center" vertical="center"/>
    </xf>
    <xf numFmtId="4" fontId="54" fillId="42" borderId="0" xfId="0" applyNumberFormat="1" applyFont="1" applyFill="1" applyAlignment="1">
      <alignment horizontal="center" vertical="center"/>
    </xf>
    <xf numFmtId="3" fontId="42" fillId="0" borderId="11" xfId="49" applyNumberFormat="1" applyFont="1" applyBorder="1" applyAlignment="1">
      <alignment horizontal="center" vertical="center" textRotation="90" wrapText="1"/>
    </xf>
    <xf numFmtId="49" fontId="42" fillId="0" borderId="11" xfId="49" applyNumberFormat="1" applyFont="1" applyBorder="1" applyAlignment="1">
      <alignment horizontal="center" vertical="center" textRotation="90" wrapText="1"/>
    </xf>
    <xf numFmtId="49" fontId="42" fillId="0" borderId="13" xfId="49" applyNumberFormat="1" applyFont="1" applyBorder="1" applyAlignment="1">
      <alignment horizontal="center" vertical="center" textRotation="90" wrapText="1"/>
    </xf>
    <xf numFmtId="0" fontId="42" fillId="0" borderId="11" xfId="49" applyFont="1" applyBorder="1" applyAlignment="1">
      <alignment horizontal="center" vertical="center" textRotation="90" wrapText="1"/>
    </xf>
    <xf numFmtId="3" fontId="42" fillId="0" borderId="11" xfId="49" applyNumberFormat="1" applyFont="1" applyBorder="1" applyAlignment="1">
      <alignment horizontal="center" vertical="center" wrapText="1"/>
    </xf>
    <xf numFmtId="4" fontId="42" fillId="0" borderId="11" xfId="47" applyNumberFormat="1" applyFont="1" applyBorder="1" applyAlignment="1">
      <alignment horizontal="center" textRotation="90" wrapText="1"/>
    </xf>
    <xf numFmtId="10" fontId="42" fillId="0" borderId="11" xfId="47" applyNumberFormat="1" applyFont="1" applyBorder="1" applyAlignment="1">
      <alignment horizontal="center" textRotation="90" wrapText="1"/>
    </xf>
    <xf numFmtId="4" fontId="42" fillId="0" borderId="34" xfId="47" applyNumberFormat="1" applyFont="1" applyBorder="1" applyAlignment="1">
      <alignment horizontal="center" textRotation="90" wrapText="1"/>
    </xf>
    <xf numFmtId="4" fontId="42" fillId="0" borderId="11" xfId="47" applyNumberFormat="1" applyFont="1" applyFill="1" applyBorder="1" applyAlignment="1">
      <alignment horizontal="center" textRotation="90" wrapText="1"/>
    </xf>
    <xf numFmtId="3" fontId="42" fillId="0" borderId="30" xfId="49" applyNumberFormat="1" applyFont="1" applyBorder="1" applyAlignment="1">
      <alignment horizontal="center" vertical="center" wrapText="1"/>
    </xf>
    <xf numFmtId="49" fontId="42" fillId="0" borderId="30" xfId="49" applyNumberFormat="1" applyFont="1" applyBorder="1" applyAlignment="1">
      <alignment horizontal="center" vertical="center" wrapText="1"/>
    </xf>
    <xf numFmtId="49" fontId="42" fillId="0" borderId="31" xfId="49" applyNumberFormat="1" applyFont="1" applyBorder="1" applyAlignment="1">
      <alignment horizontal="center" vertical="center" wrapText="1"/>
    </xf>
    <xf numFmtId="0" fontId="42" fillId="0" borderId="30" xfId="49" applyFont="1" applyBorder="1" applyAlignment="1">
      <alignment horizontal="center" vertical="center" wrapText="1"/>
    </xf>
    <xf numFmtId="4" fontId="42" fillId="0" borderId="30" xfId="47" applyNumberFormat="1" applyFont="1" applyBorder="1" applyAlignment="1">
      <alignment horizontal="center" vertical="center" wrapText="1"/>
    </xf>
    <xf numFmtId="1" fontId="42" fillId="0" borderId="45" xfId="47" applyNumberFormat="1" applyFont="1" applyBorder="1" applyAlignment="1">
      <alignment horizontal="center" vertical="center" wrapText="1"/>
    </xf>
    <xf numFmtId="1" fontId="42" fillId="0" borderId="47" xfId="47" applyNumberFormat="1" applyFont="1" applyBorder="1" applyAlignment="1">
      <alignment horizontal="center" vertical="center" wrapText="1"/>
    </xf>
    <xf numFmtId="1" fontId="42" fillId="0" borderId="35" xfId="47" applyNumberFormat="1" applyFont="1" applyFill="1" applyBorder="1" applyAlignment="1">
      <alignment horizontal="center" vertical="center" wrapText="1"/>
    </xf>
    <xf numFmtId="0" fontId="42" fillId="27" borderId="0" xfId="0" applyFont="1" applyFill="1" applyAlignment="1">
      <alignment horizontal="center" vertical="center"/>
    </xf>
    <xf numFmtId="49" fontId="42" fillId="27" borderId="0" xfId="0" applyNumberFormat="1" applyFont="1" applyFill="1" applyAlignment="1">
      <alignment horizontal="center" vertical="center"/>
    </xf>
    <xf numFmtId="49" fontId="41" fillId="27" borderId="0" xfId="0" applyNumberFormat="1" applyFont="1" applyFill="1" applyAlignment="1">
      <alignment horizontal="left" vertical="center"/>
    </xf>
    <xf numFmtId="0" fontId="41" fillId="27" borderId="0" xfId="0" applyFont="1" applyFill="1" applyAlignment="1">
      <alignment horizontal="center" vertical="center"/>
    </xf>
    <xf numFmtId="49" fontId="41" fillId="27" borderId="0" xfId="0" applyNumberFormat="1" applyFont="1" applyFill="1" applyAlignment="1">
      <alignment horizontal="center" vertical="center"/>
    </xf>
    <xf numFmtId="0" fontId="42" fillId="27" borderId="0" xfId="0" applyFont="1" applyFill="1" applyAlignment="1">
      <alignment vertical="center" wrapText="1"/>
    </xf>
    <xf numFmtId="4" fontId="41" fillId="27" borderId="0" xfId="47" applyNumberFormat="1" applyFont="1" applyFill="1" applyAlignment="1">
      <alignment horizontal="right" vertical="center"/>
    </xf>
    <xf numFmtId="10" fontId="41" fillId="27" borderId="0" xfId="47" applyNumberFormat="1" applyFont="1" applyFill="1" applyAlignment="1">
      <alignment horizontal="right" vertical="center"/>
    </xf>
    <xf numFmtId="4" fontId="41" fillId="27" borderId="0" xfId="47" applyNumberFormat="1" applyFont="1" applyFill="1" applyAlignment="1">
      <alignment vertical="center"/>
    </xf>
    <xf numFmtId="10" fontId="41" fillId="27" borderId="0" xfId="47" applyNumberFormat="1" applyFont="1" applyFill="1" applyAlignment="1">
      <alignment vertical="center"/>
    </xf>
    <xf numFmtId="3" fontId="42" fillId="0" borderId="0" xfId="49" applyNumberFormat="1" applyFont="1" applyFill="1" applyBorder="1" applyAlignment="1">
      <alignment horizontal="left" vertical="center" wrapText="1"/>
    </xf>
    <xf numFmtId="4" fontId="41" fillId="0" borderId="0" xfId="0" applyNumberFormat="1" applyFont="1" applyBorder="1"/>
    <xf numFmtId="4" fontId="41" fillId="0" borderId="0" xfId="0" applyNumberFormat="1" applyFont="1" applyBorder="1" applyAlignment="1">
      <alignment vertical="center"/>
    </xf>
    <xf numFmtId="4" fontId="41" fillId="28" borderId="0" xfId="0" applyNumberFormat="1" applyFont="1" applyFill="1" applyBorder="1"/>
    <xf numFmtId="0" fontId="41" fillId="28" borderId="0" xfId="0" applyFont="1" applyFill="1" applyBorder="1"/>
    <xf numFmtId="0" fontId="41" fillId="0" borderId="0" xfId="0" applyFont="1" applyAlignment="1">
      <alignment horizontal="left" vertical="center" wrapText="1"/>
    </xf>
    <xf numFmtId="0" fontId="41" fillId="0" borderId="0" xfId="0" applyNumberFormat="1" applyFont="1" applyAlignment="1">
      <alignment horizontal="center" vertical="center"/>
    </xf>
    <xf numFmtId="3" fontId="41" fillId="0" borderId="0" xfId="0" applyNumberFormat="1" applyFont="1" applyBorder="1" applyAlignment="1">
      <alignment horizontal="left" vertical="center" wrapText="1"/>
    </xf>
    <xf numFmtId="4" fontId="42" fillId="0" borderId="32" xfId="47" applyNumberFormat="1" applyFont="1" applyBorder="1" applyAlignment="1">
      <alignment horizontal="right" vertical="center" wrapText="1"/>
    </xf>
    <xf numFmtId="4" fontId="42" fillId="0" borderId="33" xfId="47" applyNumberFormat="1" applyFont="1" applyBorder="1" applyAlignment="1">
      <alignment horizontal="right" vertical="center" wrapText="1"/>
    </xf>
    <xf numFmtId="0" fontId="41" fillId="0" borderId="0" xfId="0" applyFont="1" applyAlignment="1">
      <alignment vertical="center" wrapText="1"/>
    </xf>
    <xf numFmtId="4" fontId="42" fillId="0" borderId="0" xfId="47" applyNumberFormat="1" applyFont="1" applyBorder="1" applyAlignment="1">
      <alignment horizontal="right" vertical="center" wrapText="1"/>
    </xf>
    <xf numFmtId="3" fontId="42" fillId="28" borderId="0" xfId="49" applyNumberFormat="1" applyFont="1" applyFill="1" applyBorder="1" applyAlignment="1">
      <alignment horizontal="center" vertical="center"/>
    </xf>
    <xf numFmtId="49" fontId="42" fillId="28" borderId="0" xfId="49" applyNumberFormat="1" applyFont="1" applyFill="1" applyBorder="1" applyAlignment="1">
      <alignment horizontal="center" vertical="center"/>
    </xf>
    <xf numFmtId="49" fontId="42" fillId="28" borderId="0" xfId="0" applyNumberFormat="1" applyFont="1" applyFill="1" applyBorder="1" applyAlignment="1" applyProtection="1">
      <alignment horizontal="left" vertical="top"/>
    </xf>
    <xf numFmtId="0" fontId="41" fillId="28" borderId="0" xfId="0" applyFont="1" applyFill="1" applyAlignment="1">
      <alignment horizontal="center" vertical="center"/>
    </xf>
    <xf numFmtId="49" fontId="41" fillId="28" borderId="0" xfId="0" applyNumberFormat="1" applyFont="1" applyFill="1" applyAlignment="1">
      <alignment horizontal="center" vertical="center"/>
    </xf>
    <xf numFmtId="0" fontId="42" fillId="28" borderId="0" xfId="0" applyFont="1" applyFill="1" applyAlignment="1">
      <alignment vertical="center" wrapText="1"/>
    </xf>
    <xf numFmtId="4" fontId="41" fillId="28" borderId="0" xfId="47" applyNumberFormat="1" applyFont="1" applyFill="1" applyBorder="1" applyAlignment="1">
      <alignment horizontal="right" vertical="center"/>
    </xf>
    <xf numFmtId="10" fontId="41" fillId="28" borderId="0" xfId="47" applyNumberFormat="1" applyFont="1" applyFill="1" applyBorder="1" applyAlignment="1">
      <alignment horizontal="right" vertical="center"/>
    </xf>
    <xf numFmtId="4" fontId="41" fillId="28" borderId="0" xfId="47" applyNumberFormat="1" applyFont="1" applyFill="1" applyAlignment="1">
      <alignment vertical="center"/>
    </xf>
    <xf numFmtId="10" fontId="41" fillId="28" borderId="0" xfId="47" applyNumberFormat="1" applyFont="1" applyFill="1" applyAlignment="1">
      <alignment vertical="center"/>
    </xf>
    <xf numFmtId="4" fontId="41" fillId="28" borderId="0" xfId="47" applyNumberFormat="1" applyFont="1" applyFill="1" applyBorder="1" applyAlignment="1">
      <alignment horizontal="right" vertical="center" wrapText="1"/>
    </xf>
    <xf numFmtId="4" fontId="41" fillId="28" borderId="0" xfId="0" applyNumberFormat="1" applyFont="1" applyFill="1"/>
    <xf numFmtId="0" fontId="42" fillId="28" borderId="0" xfId="0" applyFont="1" applyFill="1" applyBorder="1" applyAlignment="1">
      <alignment horizontal="left"/>
    </xf>
    <xf numFmtId="0" fontId="42" fillId="28" borderId="0" xfId="0" applyFont="1" applyFill="1" applyAlignment="1">
      <alignment horizontal="center" vertical="center"/>
    </xf>
    <xf numFmtId="49" fontId="42" fillId="28" borderId="0" xfId="0" applyNumberFormat="1" applyFont="1" applyFill="1" applyAlignment="1">
      <alignment horizontal="center" vertical="center"/>
    </xf>
    <xf numFmtId="0" fontId="42" fillId="28" borderId="0" xfId="0" applyFont="1" applyFill="1" applyBorder="1" applyAlignment="1">
      <alignment horizontal="center"/>
    </xf>
    <xf numFmtId="0" fontId="42" fillId="28" borderId="0" xfId="0" applyFont="1" applyFill="1" applyBorder="1" applyAlignment="1" applyProtection="1">
      <alignment vertical="center" wrapText="1"/>
    </xf>
    <xf numFmtId="0" fontId="76" fillId="28" borderId="0" xfId="0" applyFont="1" applyFill="1" applyAlignment="1">
      <alignment horizontal="center" vertical="center"/>
    </xf>
    <xf numFmtId="49" fontId="76" fillId="28" borderId="0" xfId="0" applyNumberFormat="1" applyFont="1" applyFill="1" applyAlignment="1">
      <alignment horizontal="center" vertical="center"/>
    </xf>
    <xf numFmtId="0" fontId="76" fillId="28" borderId="0" xfId="0" applyFont="1" applyFill="1" applyAlignment="1">
      <alignment vertical="center" wrapText="1"/>
    </xf>
    <xf numFmtId="3" fontId="42" fillId="28" borderId="0" xfId="49" applyNumberFormat="1" applyFont="1" applyFill="1" applyBorder="1" applyAlignment="1">
      <alignment horizontal="left" vertical="center"/>
    </xf>
    <xf numFmtId="49" fontId="41" fillId="28" borderId="0" xfId="49" applyNumberFormat="1" applyFont="1" applyFill="1" applyBorder="1" applyAlignment="1">
      <alignment horizontal="center" vertical="center"/>
    </xf>
    <xf numFmtId="0" fontId="41" fillId="28" borderId="0" xfId="0" applyFont="1" applyFill="1" applyAlignment="1">
      <alignment horizontal="center" vertical="center" wrapText="1"/>
    </xf>
    <xf numFmtId="3" fontId="41" fillId="28" borderId="0" xfId="0" applyNumberFormat="1" applyFont="1" applyFill="1" applyAlignment="1">
      <alignment horizontal="left" vertical="center" wrapText="1"/>
    </xf>
    <xf numFmtId="0" fontId="41" fillId="35" borderId="0" xfId="0" applyFont="1" applyFill="1" applyBorder="1"/>
    <xf numFmtId="3" fontId="41" fillId="28" borderId="0" xfId="0" applyNumberFormat="1" applyFont="1" applyFill="1" applyBorder="1" applyAlignment="1">
      <alignment horizontal="left" vertical="center" wrapText="1"/>
    </xf>
    <xf numFmtId="49" fontId="41" fillId="28" borderId="0" xfId="0" applyNumberFormat="1" applyFont="1" applyFill="1" applyAlignment="1">
      <alignment horizontal="left" vertical="center"/>
    </xf>
    <xf numFmtId="49" fontId="41" fillId="28" borderId="0" xfId="0" applyNumberFormat="1" applyFont="1" applyFill="1" applyBorder="1" applyAlignment="1">
      <alignment horizontal="center" vertical="center" wrapText="1"/>
    </xf>
    <xf numFmtId="0" fontId="41" fillId="28" borderId="0" xfId="0" applyFont="1" applyFill="1" applyBorder="1" applyAlignment="1">
      <alignment horizontal="center" vertical="center" wrapText="1"/>
    </xf>
    <xf numFmtId="3" fontId="42" fillId="28" borderId="32" xfId="1" applyNumberFormat="1" applyFont="1" applyFill="1" applyBorder="1" applyAlignment="1">
      <alignment horizontal="left" vertical="center" wrapText="1"/>
    </xf>
    <xf numFmtId="4" fontId="42" fillId="28" borderId="32" xfId="47" applyNumberFormat="1" applyFont="1" applyFill="1" applyBorder="1" applyAlignment="1">
      <alignment horizontal="right" vertical="center" wrapText="1"/>
    </xf>
    <xf numFmtId="10" fontId="42" fillId="28" borderId="32" xfId="47" applyNumberFormat="1" applyFont="1" applyFill="1" applyBorder="1" applyAlignment="1">
      <alignment horizontal="right" vertical="center" wrapText="1"/>
    </xf>
    <xf numFmtId="4" fontId="41" fillId="28" borderId="32" xfId="47" applyNumberFormat="1" applyFont="1" applyFill="1" applyBorder="1" applyAlignment="1">
      <alignment horizontal="right" vertical="center" wrapText="1"/>
    </xf>
    <xf numFmtId="10" fontId="41" fillId="28" borderId="32" xfId="47" applyNumberFormat="1" applyFont="1" applyFill="1" applyBorder="1" applyAlignment="1">
      <alignment horizontal="right" vertical="center" wrapText="1"/>
    </xf>
    <xf numFmtId="49" fontId="41" fillId="28" borderId="0" xfId="0" applyNumberFormat="1" applyFont="1" applyFill="1" applyBorder="1" applyAlignment="1">
      <alignment horizontal="center" vertical="center"/>
    </xf>
    <xf numFmtId="49" fontId="41" fillId="28" borderId="0" xfId="1" applyNumberFormat="1" applyFont="1" applyFill="1" applyBorder="1" applyAlignment="1">
      <alignment horizontal="center" vertical="center" wrapText="1"/>
    </xf>
    <xf numFmtId="3" fontId="41" fillId="28" borderId="0" xfId="1" applyNumberFormat="1" applyFont="1" applyFill="1" applyBorder="1" applyAlignment="1">
      <alignment horizontal="left" vertical="center" wrapText="1"/>
    </xf>
    <xf numFmtId="4" fontId="41" fillId="28" borderId="0" xfId="47" applyNumberFormat="1" applyFont="1" applyFill="1" applyBorder="1" applyAlignment="1">
      <alignment vertical="center"/>
    </xf>
    <xf numFmtId="10" fontId="41" fillId="28" borderId="0" xfId="47" applyNumberFormat="1" applyFont="1" applyFill="1" applyBorder="1" applyAlignment="1">
      <alignment vertical="center"/>
    </xf>
    <xf numFmtId="0" fontId="42" fillId="28" borderId="20" xfId="0" applyFont="1" applyFill="1" applyBorder="1" applyAlignment="1">
      <alignment vertical="center" wrapText="1"/>
    </xf>
    <xf numFmtId="4" fontId="42" fillId="28" borderId="20" xfId="47" applyNumberFormat="1" applyFont="1" applyFill="1" applyBorder="1" applyAlignment="1">
      <alignment horizontal="right" vertical="center"/>
    </xf>
    <xf numFmtId="10" fontId="42" fillId="28" borderId="20" xfId="47" applyNumberFormat="1" applyFont="1" applyFill="1" applyBorder="1" applyAlignment="1">
      <alignment horizontal="right" vertical="center"/>
    </xf>
    <xf numFmtId="4" fontId="42" fillId="28" borderId="20" xfId="47" applyNumberFormat="1" applyFont="1" applyFill="1" applyBorder="1" applyAlignment="1">
      <alignment vertical="center"/>
    </xf>
    <xf numFmtId="10" fontId="42" fillId="28" borderId="20" xfId="47" applyNumberFormat="1" applyFont="1" applyFill="1" applyBorder="1" applyAlignment="1">
      <alignment vertical="center"/>
    </xf>
    <xf numFmtId="3" fontId="42" fillId="28" borderId="29" xfId="1" applyNumberFormat="1" applyFont="1" applyFill="1" applyBorder="1" applyAlignment="1">
      <alignment horizontal="left" vertical="center" wrapText="1"/>
    </xf>
    <xf numFmtId="4" fontId="42" fillId="28" borderId="29" xfId="47" applyNumberFormat="1" applyFont="1" applyFill="1" applyBorder="1" applyAlignment="1">
      <alignment horizontal="right" vertical="center" wrapText="1"/>
    </xf>
    <xf numFmtId="4" fontId="42" fillId="28" borderId="46" xfId="47" applyNumberFormat="1" applyFont="1" applyFill="1" applyBorder="1" applyAlignment="1">
      <alignment horizontal="right" vertical="center" wrapText="1"/>
    </xf>
    <xf numFmtId="10" fontId="42" fillId="28" borderId="46" xfId="47" applyNumberFormat="1" applyFont="1" applyFill="1" applyBorder="1" applyAlignment="1">
      <alignment horizontal="right" vertical="center" wrapText="1"/>
    </xf>
    <xf numFmtId="4" fontId="41" fillId="28" borderId="29" xfId="47" applyNumberFormat="1" applyFont="1" applyFill="1" applyBorder="1" applyAlignment="1">
      <alignment horizontal="right" vertical="center" wrapText="1"/>
    </xf>
    <xf numFmtId="4" fontId="41" fillId="28" borderId="46" xfId="47" applyNumberFormat="1" applyFont="1" applyFill="1" applyBorder="1" applyAlignment="1">
      <alignment horizontal="right" vertical="center" wrapText="1"/>
    </xf>
    <xf numFmtId="10" fontId="41" fillId="28" borderId="46" xfId="47" applyNumberFormat="1" applyFont="1" applyFill="1" applyBorder="1" applyAlignment="1">
      <alignment horizontal="right" vertical="center" wrapText="1"/>
    </xf>
    <xf numFmtId="4" fontId="42" fillId="28" borderId="33" xfId="47" applyNumberFormat="1" applyFont="1" applyFill="1" applyBorder="1" applyAlignment="1">
      <alignment horizontal="right" vertical="center" wrapText="1"/>
    </xf>
    <xf numFmtId="0" fontId="41" fillId="28" borderId="0" xfId="1" applyNumberFormat="1" applyFont="1" applyFill="1" applyBorder="1" applyAlignment="1">
      <alignment horizontal="center" vertical="center" wrapText="1"/>
    </xf>
    <xf numFmtId="4" fontId="41" fillId="28" borderId="0" xfId="47" applyNumberFormat="1" applyFont="1" applyFill="1" applyAlignment="1">
      <alignment horizontal="right" vertical="center"/>
    </xf>
    <xf numFmtId="10" fontId="41" fillId="28" borderId="0" xfId="47" applyNumberFormat="1" applyFont="1" applyFill="1" applyAlignment="1">
      <alignment horizontal="right" vertical="center"/>
    </xf>
    <xf numFmtId="3" fontId="42" fillId="27" borderId="0" xfId="49" applyNumberFormat="1" applyFont="1" applyFill="1" applyBorder="1" applyAlignment="1">
      <alignment horizontal="left" vertical="center" wrapText="1"/>
    </xf>
    <xf numFmtId="0" fontId="41" fillId="34" borderId="0" xfId="0" applyFont="1" applyFill="1" applyBorder="1"/>
    <xf numFmtId="3" fontId="42" fillId="0" borderId="0" xfId="0" applyNumberFormat="1" applyFont="1" applyBorder="1" applyAlignment="1">
      <alignment horizontal="left" vertical="center" wrapText="1"/>
    </xf>
    <xf numFmtId="49" fontId="42" fillId="27" borderId="0" xfId="0" applyNumberFormat="1" applyFont="1" applyFill="1" applyAlignment="1">
      <alignment horizontal="left" vertical="center"/>
    </xf>
    <xf numFmtId="3" fontId="42" fillId="25" borderId="0" xfId="49" applyNumberFormat="1" applyFont="1" applyFill="1" applyBorder="1" applyAlignment="1">
      <alignment horizontal="left" vertical="center" wrapText="1"/>
    </xf>
    <xf numFmtId="4" fontId="42" fillId="27" borderId="0" xfId="47" applyNumberFormat="1" applyFont="1" applyFill="1" applyAlignment="1">
      <alignment horizontal="right" vertical="center"/>
    </xf>
    <xf numFmtId="10" fontId="42" fillId="27" borderId="0" xfId="47" applyNumberFormat="1" applyFont="1" applyFill="1" applyAlignment="1">
      <alignment horizontal="right" vertical="center"/>
    </xf>
    <xf numFmtId="4" fontId="42" fillId="27" borderId="0" xfId="47" applyNumberFormat="1" applyFont="1" applyFill="1" applyAlignment="1">
      <alignment vertical="center"/>
    </xf>
    <xf numFmtId="10" fontId="42" fillId="27" borderId="0" xfId="47" applyNumberFormat="1" applyFont="1" applyFill="1" applyAlignment="1">
      <alignment vertical="center"/>
    </xf>
    <xf numFmtId="4" fontId="54" fillId="27" borderId="0" xfId="47" applyNumberFormat="1" applyFont="1" applyFill="1" applyAlignment="1">
      <alignment vertical="center"/>
    </xf>
    <xf numFmtId="10" fontId="54" fillId="27" borderId="0" xfId="47" applyNumberFormat="1" applyFont="1" applyFill="1" applyAlignment="1">
      <alignment vertical="center"/>
    </xf>
    <xf numFmtId="0" fontId="54" fillId="0" borderId="0" xfId="0" applyFont="1" applyBorder="1"/>
    <xf numFmtId="0" fontId="54" fillId="0" borderId="0" xfId="0" applyFont="1"/>
    <xf numFmtId="4" fontId="54" fillId="0" borderId="0" xfId="0" applyNumberFormat="1" applyFont="1"/>
    <xf numFmtId="4" fontId="54" fillId="40" borderId="0" xfId="0" applyNumberFormat="1" applyFont="1" applyFill="1" applyAlignment="1">
      <alignment horizontal="right"/>
    </xf>
    <xf numFmtId="4" fontId="54" fillId="39" borderId="0" xfId="0" applyNumberFormat="1" applyFont="1" applyFill="1"/>
    <xf numFmtId="0" fontId="42" fillId="0" borderId="0" xfId="0" applyFont="1"/>
    <xf numFmtId="3" fontId="42" fillId="25" borderId="0" xfId="49" applyNumberFormat="1" applyFont="1" applyFill="1" applyBorder="1" applyAlignment="1">
      <alignment horizontal="center" vertical="center"/>
    </xf>
    <xf numFmtId="49" fontId="42" fillId="25" borderId="0" xfId="49" applyNumberFormat="1" applyFont="1" applyFill="1" applyBorder="1" applyAlignment="1">
      <alignment horizontal="center" vertical="center"/>
    </xf>
    <xf numFmtId="3" fontId="42" fillId="25" borderId="0" xfId="49" applyNumberFormat="1" applyFont="1" applyFill="1" applyBorder="1" applyAlignment="1">
      <alignment horizontal="left" vertical="center"/>
    </xf>
    <xf numFmtId="3" fontId="46" fillId="25" borderId="0" xfId="49" applyNumberFormat="1" applyFont="1" applyFill="1" applyBorder="1" applyAlignment="1">
      <alignment horizontal="center" vertical="center"/>
    </xf>
    <xf numFmtId="4" fontId="41" fillId="25" borderId="0" xfId="47" applyNumberFormat="1" applyFont="1" applyFill="1" applyBorder="1" applyAlignment="1">
      <alignment horizontal="right" vertical="center"/>
    </xf>
    <xf numFmtId="10" fontId="41" fillId="25" borderId="0" xfId="47" applyNumberFormat="1" applyFont="1" applyFill="1" applyBorder="1" applyAlignment="1">
      <alignment horizontal="right" vertical="center"/>
    </xf>
    <xf numFmtId="4" fontId="41" fillId="25" borderId="0" xfId="47" applyNumberFormat="1" applyFont="1" applyFill="1" applyBorder="1" applyAlignment="1">
      <alignment horizontal="right" vertical="center" wrapText="1"/>
    </xf>
    <xf numFmtId="0" fontId="41" fillId="28" borderId="0" xfId="49" applyNumberFormat="1" applyFont="1" applyFill="1" applyBorder="1" applyAlignment="1">
      <alignment horizontal="center" vertical="center"/>
    </xf>
    <xf numFmtId="0" fontId="42" fillId="28" borderId="0" xfId="0" applyFont="1" applyFill="1" applyBorder="1" applyAlignment="1">
      <alignment horizontal="left" vertical="center"/>
    </xf>
    <xf numFmtId="0" fontId="42" fillId="28" borderId="0" xfId="0" applyFont="1" applyFill="1" applyBorder="1" applyAlignment="1">
      <alignment vertical="center" wrapText="1"/>
    </xf>
    <xf numFmtId="0" fontId="41" fillId="0" borderId="0" xfId="0" applyFont="1" applyFill="1" applyBorder="1" applyAlignment="1">
      <alignment horizontal="left" wrapText="1"/>
    </xf>
    <xf numFmtId="4" fontId="42" fillId="28" borderId="0" xfId="47" applyNumberFormat="1" applyFont="1" applyFill="1" applyBorder="1" applyAlignment="1">
      <alignment horizontal="right" vertical="center"/>
    </xf>
    <xf numFmtId="10" fontId="42" fillId="28" borderId="0" xfId="47" applyNumberFormat="1" applyFont="1" applyFill="1" applyBorder="1" applyAlignment="1">
      <alignment horizontal="right" vertical="center"/>
    </xf>
    <xf numFmtId="4" fontId="42" fillId="28" borderId="0" xfId="47" applyNumberFormat="1" applyFont="1" applyFill="1" applyBorder="1" applyAlignment="1">
      <alignment vertical="center"/>
    </xf>
    <xf numFmtId="10" fontId="42" fillId="28" borderId="0" xfId="47" applyNumberFormat="1" applyFont="1" applyFill="1" applyBorder="1" applyAlignment="1">
      <alignment vertical="center"/>
    </xf>
    <xf numFmtId="3" fontId="42" fillId="0" borderId="0" xfId="49" applyNumberFormat="1" applyFont="1" applyFill="1" applyBorder="1" applyAlignment="1">
      <alignment horizontal="left" vertical="center"/>
    </xf>
    <xf numFmtId="3" fontId="46" fillId="0" borderId="0" xfId="49" applyNumberFormat="1" applyFont="1" applyFill="1" applyBorder="1" applyAlignment="1">
      <alignment horizontal="center" vertical="center"/>
    </xf>
    <xf numFmtId="4" fontId="41" fillId="0" borderId="0" xfId="47" applyNumberFormat="1" applyFont="1" applyFill="1" applyBorder="1" applyAlignment="1">
      <alignment horizontal="right" vertical="center" wrapText="1"/>
    </xf>
    <xf numFmtId="0" fontId="41" fillId="0" borderId="0" xfId="0" applyFont="1" applyFill="1" applyBorder="1"/>
    <xf numFmtId="0" fontId="41" fillId="0" borderId="0" xfId="0" applyFont="1" applyFill="1"/>
    <xf numFmtId="4" fontId="41" fillId="0" borderId="0" xfId="0" applyNumberFormat="1" applyFont="1" applyFill="1"/>
    <xf numFmtId="49" fontId="42" fillId="0" borderId="0" xfId="0" applyNumberFormat="1" applyFont="1" applyFill="1" applyBorder="1" applyAlignment="1" applyProtection="1">
      <alignment horizontal="left" vertical="top"/>
    </xf>
    <xf numFmtId="0" fontId="76" fillId="0" borderId="0" xfId="0" applyFont="1" applyFill="1" applyAlignment="1">
      <alignment vertical="center" wrapText="1"/>
    </xf>
    <xf numFmtId="49" fontId="41" fillId="0" borderId="0" xfId="49" applyNumberFormat="1" applyFont="1" applyFill="1" applyBorder="1" applyAlignment="1">
      <alignment horizontal="center" vertical="center"/>
    </xf>
    <xf numFmtId="3" fontId="42" fillId="28" borderId="0" xfId="1" applyNumberFormat="1" applyFont="1" applyFill="1" applyBorder="1" applyAlignment="1">
      <alignment horizontal="left" vertical="center" wrapText="1"/>
    </xf>
    <xf numFmtId="4" fontId="42" fillId="28" borderId="0" xfId="47" applyNumberFormat="1" applyFont="1" applyFill="1" applyBorder="1" applyAlignment="1">
      <alignment horizontal="right" vertical="center" wrapText="1"/>
    </xf>
    <xf numFmtId="10" fontId="42" fillId="28" borderId="0" xfId="47" applyNumberFormat="1" applyFont="1" applyFill="1" applyBorder="1" applyAlignment="1">
      <alignment horizontal="right" vertical="center" wrapText="1"/>
    </xf>
    <xf numFmtId="10" fontId="41" fillId="28" borderId="0" xfId="47" applyNumberFormat="1" applyFont="1" applyFill="1" applyBorder="1" applyAlignment="1">
      <alignment horizontal="right" vertical="center" wrapText="1"/>
    </xf>
    <xf numFmtId="3" fontId="54" fillId="0" borderId="0" xfId="49" applyNumberFormat="1" applyFont="1" applyFill="1" applyBorder="1" applyAlignment="1">
      <alignment horizontal="center" vertical="center"/>
    </xf>
    <xf numFmtId="49" fontId="54" fillId="0" borderId="0" xfId="49" applyNumberFormat="1" applyFont="1" applyFill="1" applyBorder="1" applyAlignment="1">
      <alignment horizontal="center" vertical="center"/>
    </xf>
    <xf numFmtId="3" fontId="65" fillId="0" borderId="0" xfId="49" applyNumberFormat="1" applyFont="1" applyFill="1" applyBorder="1" applyAlignment="1">
      <alignment horizontal="center" vertical="center"/>
    </xf>
    <xf numFmtId="3" fontId="54" fillId="0" borderId="0" xfId="49" applyNumberFormat="1" applyFont="1" applyFill="1" applyBorder="1" applyAlignment="1">
      <alignment horizontal="left" vertical="center" wrapText="1"/>
    </xf>
    <xf numFmtId="0" fontId="42" fillId="0" borderId="0" xfId="0" applyFont="1" applyAlignment="1">
      <alignment vertical="center" wrapText="1"/>
    </xf>
    <xf numFmtId="49" fontId="76" fillId="0" borderId="0" xfId="49" applyNumberFormat="1" applyFont="1" applyFill="1" applyBorder="1" applyAlignment="1">
      <alignment horizontal="center" vertical="center"/>
    </xf>
    <xf numFmtId="3" fontId="78" fillId="0" borderId="0" xfId="49" applyNumberFormat="1" applyFont="1" applyFill="1" applyBorder="1" applyAlignment="1">
      <alignment horizontal="center" vertical="center"/>
    </xf>
    <xf numFmtId="3" fontId="76" fillId="0" borderId="0" xfId="49" applyNumberFormat="1" applyFont="1" applyFill="1" applyBorder="1" applyAlignment="1">
      <alignment horizontal="left" vertical="center" wrapText="1"/>
    </xf>
    <xf numFmtId="3" fontId="41" fillId="0" borderId="0" xfId="49" applyNumberFormat="1" applyFont="1" applyFill="1" applyBorder="1" applyAlignment="1">
      <alignment horizontal="center" vertical="center"/>
    </xf>
    <xf numFmtId="3" fontId="41" fillId="0" borderId="0" xfId="49" applyNumberFormat="1" applyFont="1" applyFill="1" applyBorder="1" applyAlignment="1">
      <alignment horizontal="left" vertical="center"/>
    </xf>
    <xf numFmtId="3" fontId="41" fillId="0" borderId="0" xfId="49" applyNumberFormat="1" applyFont="1" applyFill="1" applyBorder="1" applyAlignment="1">
      <alignment horizontal="left" vertical="center" wrapText="1"/>
    </xf>
    <xf numFmtId="0" fontId="42" fillId="0" borderId="0" xfId="0" applyFont="1" applyBorder="1" applyAlignment="1">
      <alignment horizontal="left" vertical="center"/>
    </xf>
    <xf numFmtId="0" fontId="41" fillId="0" borderId="0" xfId="0" applyFont="1" applyBorder="1" applyAlignment="1">
      <alignment horizontal="center" vertical="center"/>
    </xf>
    <xf numFmtId="49" fontId="41" fillId="0" borderId="0" xfId="0" applyNumberFormat="1" applyFont="1"/>
    <xf numFmtId="3" fontId="42" fillId="28" borderId="0" xfId="49" applyNumberFormat="1" applyFont="1" applyFill="1" applyBorder="1" applyAlignment="1">
      <alignment horizontal="left" vertical="center" wrapText="1"/>
    </xf>
    <xf numFmtId="0" fontId="41" fillId="0" borderId="0" xfId="0" applyFont="1" applyFill="1" applyAlignment="1">
      <alignment vertical="center" wrapText="1"/>
    </xf>
    <xf numFmtId="0" fontId="41" fillId="28" borderId="0" xfId="0" applyFont="1" applyFill="1" applyAlignment="1">
      <alignment vertical="center" wrapText="1"/>
    </xf>
    <xf numFmtId="49" fontId="42" fillId="28" borderId="0" xfId="0" applyNumberFormat="1" applyFont="1" applyFill="1" applyAlignment="1">
      <alignment horizontal="left" vertical="center"/>
    </xf>
    <xf numFmtId="4" fontId="41" fillId="28" borderId="48" xfId="47" applyNumberFormat="1" applyFont="1" applyFill="1" applyBorder="1" applyAlignment="1">
      <alignment horizontal="right" vertical="center"/>
    </xf>
    <xf numFmtId="10" fontId="41" fillId="28" borderId="48" xfId="47" applyNumberFormat="1" applyFont="1" applyFill="1" applyBorder="1" applyAlignment="1">
      <alignment horizontal="right" vertical="center"/>
    </xf>
    <xf numFmtId="4" fontId="41" fillId="28" borderId="48" xfId="47" applyNumberFormat="1" applyFont="1" applyFill="1" applyBorder="1" applyAlignment="1">
      <alignment vertical="center"/>
    </xf>
    <xf numFmtId="10" fontId="41" fillId="28" borderId="48" xfId="47" applyNumberFormat="1" applyFont="1" applyFill="1" applyBorder="1" applyAlignment="1">
      <alignment vertical="center"/>
    </xf>
    <xf numFmtId="3" fontId="54" fillId="28" borderId="0" xfId="49" applyNumberFormat="1" applyFont="1" applyFill="1" applyBorder="1" applyAlignment="1">
      <alignment horizontal="center" vertical="center"/>
    </xf>
    <xf numFmtId="49" fontId="54" fillId="28" borderId="0" xfId="49" applyNumberFormat="1" applyFont="1" applyFill="1" applyBorder="1" applyAlignment="1">
      <alignment horizontal="center" vertical="center"/>
    </xf>
    <xf numFmtId="4" fontId="41" fillId="34" borderId="0" xfId="47" applyNumberFormat="1" applyFont="1" applyFill="1" applyAlignment="1">
      <alignment horizontal="right" vertical="center"/>
    </xf>
    <xf numFmtId="49" fontId="41"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4" fontId="41" fillId="0" borderId="0" xfId="47" applyNumberFormat="1" applyFont="1" applyAlignment="1">
      <alignment horizontal="right"/>
    </xf>
    <xf numFmtId="10" fontId="41" fillId="0" borderId="0" xfId="47" applyNumberFormat="1" applyFont="1" applyAlignment="1">
      <alignment horizontal="right"/>
    </xf>
    <xf numFmtId="10" fontId="41" fillId="0" borderId="0" xfId="47" applyNumberFormat="1" applyFont="1"/>
    <xf numFmtId="49" fontId="76" fillId="0" borderId="0" xfId="0" applyNumberFormat="1" applyFont="1" applyFill="1" applyBorder="1" applyAlignment="1" applyProtection="1">
      <alignment horizontal="center" vertical="top"/>
    </xf>
    <xf numFmtId="49" fontId="76" fillId="0" borderId="0" xfId="0" applyNumberFormat="1"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0" applyFont="1" applyFill="1" applyBorder="1" applyAlignment="1" applyProtection="1">
      <alignment vertical="center" wrapText="1"/>
    </xf>
    <xf numFmtId="4" fontId="42" fillId="0" borderId="48" xfId="47" applyNumberFormat="1" applyFont="1" applyBorder="1" applyAlignment="1">
      <alignment vertical="center"/>
    </xf>
    <xf numFmtId="49" fontId="41" fillId="0" borderId="0" xfId="0" applyNumberFormat="1" applyFont="1" applyFill="1"/>
    <xf numFmtId="0" fontId="55" fillId="28" borderId="0" xfId="0" applyFont="1" applyFill="1" applyBorder="1" applyAlignment="1">
      <alignment horizontal="center" vertical="center" wrapText="1"/>
    </xf>
    <xf numFmtId="3" fontId="54" fillId="28" borderId="0" xfId="1" applyNumberFormat="1" applyFont="1" applyFill="1" applyBorder="1" applyAlignment="1">
      <alignment horizontal="left" vertical="center" wrapText="1"/>
    </xf>
    <xf numFmtId="0" fontId="55" fillId="28" borderId="0" xfId="1" applyNumberFormat="1" applyFont="1" applyFill="1" applyBorder="1" applyAlignment="1">
      <alignment horizontal="center" vertical="center" wrapText="1"/>
    </xf>
    <xf numFmtId="3" fontId="55" fillId="28" borderId="0" xfId="1" applyNumberFormat="1" applyFont="1" applyFill="1" applyBorder="1" applyAlignment="1">
      <alignment horizontal="left" vertical="center" wrapText="1"/>
    </xf>
    <xf numFmtId="49" fontId="55" fillId="28" borderId="0" xfId="1" applyNumberFormat="1" applyFont="1" applyFill="1" applyBorder="1" applyAlignment="1">
      <alignment horizontal="center" vertical="center" wrapText="1"/>
    </xf>
    <xf numFmtId="49" fontId="55" fillId="0" borderId="0" xfId="1" applyNumberFormat="1" applyFont="1" applyBorder="1" applyAlignment="1">
      <alignment horizontal="center" vertical="center" wrapText="1"/>
    </xf>
    <xf numFmtId="3" fontId="55" fillId="0" borderId="0" xfId="1" applyNumberFormat="1" applyFont="1" applyFill="1" applyBorder="1" applyAlignment="1">
      <alignment horizontal="left" vertical="center" wrapText="1"/>
    </xf>
    <xf numFmtId="49" fontId="53" fillId="25" borderId="0" xfId="49" applyNumberFormat="1" applyFont="1" applyFill="1" applyBorder="1" applyAlignment="1">
      <alignment horizontal="center" vertical="center"/>
    </xf>
    <xf numFmtId="4" fontId="41" fillId="25" borderId="0" xfId="47" applyNumberFormat="1" applyFont="1" applyFill="1" applyBorder="1" applyAlignment="1">
      <alignment horizontal="center" vertical="center"/>
    </xf>
    <xf numFmtId="10" fontId="41" fillId="25" borderId="0" xfId="47" applyNumberFormat="1" applyFont="1" applyFill="1" applyBorder="1" applyAlignment="1">
      <alignment horizontal="center" vertical="center"/>
    </xf>
    <xf numFmtId="4" fontId="41" fillId="27" borderId="0" xfId="47" applyNumberFormat="1" applyFont="1" applyFill="1"/>
    <xf numFmtId="4" fontId="79" fillId="28" borderId="0" xfId="47" applyNumberFormat="1" applyFont="1" applyFill="1" applyAlignment="1">
      <alignment vertical="center"/>
    </xf>
    <xf numFmtId="10" fontId="79" fillId="28" borderId="0" xfId="47" applyNumberFormat="1" applyFont="1" applyFill="1" applyAlignment="1">
      <alignment vertical="center"/>
    </xf>
    <xf numFmtId="0" fontId="41" fillId="40" borderId="0" xfId="0" applyFont="1" applyFill="1"/>
    <xf numFmtId="0" fontId="41" fillId="39" borderId="0" xfId="0" applyFont="1" applyFill="1"/>
    <xf numFmtId="0" fontId="54" fillId="41" borderId="0" xfId="0" applyFont="1" applyFill="1"/>
    <xf numFmtId="0" fontId="54" fillId="42" borderId="0" xfId="0" applyFont="1" applyFill="1"/>
    <xf numFmtId="3" fontId="42" fillId="27" borderId="0" xfId="0" applyNumberFormat="1" applyFont="1" applyFill="1" applyAlignment="1">
      <alignment horizontal="left" vertical="center" wrapText="1"/>
    </xf>
    <xf numFmtId="0" fontId="55" fillId="0" borderId="0" xfId="0" applyFont="1" applyAlignment="1">
      <alignment horizontal="center" vertical="center" wrapText="1"/>
    </xf>
    <xf numFmtId="3" fontId="55" fillId="0" borderId="0" xfId="0" applyNumberFormat="1" applyFont="1" applyAlignment="1">
      <alignment horizontal="left" vertical="center" wrapText="1"/>
    </xf>
    <xf numFmtId="4" fontId="55" fillId="28" borderId="0" xfId="47" applyNumberFormat="1" applyFont="1" applyFill="1" applyAlignment="1">
      <alignment vertical="center"/>
    </xf>
    <xf numFmtId="10" fontId="55" fillId="28" borderId="0" xfId="47" applyNumberFormat="1" applyFont="1" applyFill="1" applyAlignment="1">
      <alignment vertical="center"/>
    </xf>
    <xf numFmtId="3" fontId="55" fillId="0" borderId="0" xfId="0" applyNumberFormat="1" applyFont="1" applyBorder="1" applyAlignment="1">
      <alignment horizontal="left" vertical="center" wrapText="1"/>
    </xf>
    <xf numFmtId="4" fontId="80" fillId="34" borderId="0" xfId="47" applyNumberFormat="1" applyFont="1" applyFill="1" applyAlignment="1">
      <alignment vertical="center"/>
    </xf>
    <xf numFmtId="10" fontId="80" fillId="34" borderId="0" xfId="47" applyNumberFormat="1" applyFont="1" applyFill="1" applyAlignment="1">
      <alignment vertical="center"/>
    </xf>
    <xf numFmtId="0" fontId="55" fillId="0" borderId="0" xfId="0" applyFont="1" applyBorder="1" applyAlignment="1">
      <alignment horizontal="center" vertical="center" wrapText="1"/>
    </xf>
    <xf numFmtId="49" fontId="55" fillId="0" borderId="0" xfId="0" applyNumberFormat="1" applyFont="1" applyBorder="1" applyAlignment="1">
      <alignment horizontal="center" vertical="center" wrapText="1"/>
    </xf>
    <xf numFmtId="4" fontId="80" fillId="28" borderId="32" xfId="47" applyNumberFormat="1" applyFont="1" applyFill="1" applyBorder="1" applyAlignment="1">
      <alignment horizontal="right" vertical="center" wrapText="1"/>
    </xf>
    <xf numFmtId="10" fontId="80" fillId="28" borderId="32" xfId="47" applyNumberFormat="1" applyFont="1" applyFill="1" applyBorder="1" applyAlignment="1">
      <alignment horizontal="right" vertical="center" wrapText="1"/>
    </xf>
    <xf numFmtId="0" fontId="55" fillId="0" borderId="0" xfId="1" applyNumberFormat="1" applyFont="1" applyBorder="1" applyAlignment="1">
      <alignment horizontal="center" vertical="center" wrapText="1"/>
    </xf>
    <xf numFmtId="4" fontId="55" fillId="28" borderId="0" xfId="47" applyNumberFormat="1" applyFont="1" applyFill="1" applyBorder="1" applyAlignment="1">
      <alignment vertical="center"/>
    </xf>
    <xf numFmtId="10" fontId="55" fillId="28" borderId="0" xfId="47" applyNumberFormat="1" applyFont="1" applyFill="1" applyBorder="1" applyAlignment="1">
      <alignment vertical="center"/>
    </xf>
    <xf numFmtId="4" fontId="80" fillId="28" borderId="0" xfId="47" applyNumberFormat="1" applyFont="1" applyFill="1" applyAlignment="1">
      <alignment vertical="center"/>
    </xf>
    <xf numFmtId="10" fontId="80" fillId="28" borderId="0" xfId="47" applyNumberFormat="1" applyFont="1" applyFill="1" applyAlignment="1">
      <alignment vertical="center"/>
    </xf>
    <xf numFmtId="4" fontId="80" fillId="28" borderId="0" xfId="47" applyNumberFormat="1" applyFont="1" applyFill="1" applyBorder="1" applyAlignment="1">
      <alignment vertical="center"/>
    </xf>
    <xf numFmtId="4" fontId="54" fillId="28" borderId="20" xfId="47" applyNumberFormat="1" applyFont="1" applyFill="1" applyBorder="1" applyAlignment="1">
      <alignment vertical="center"/>
    </xf>
    <xf numFmtId="10" fontId="54" fillId="28" borderId="20" xfId="47" applyNumberFormat="1" applyFont="1" applyFill="1" applyBorder="1" applyAlignment="1">
      <alignment vertical="center"/>
    </xf>
    <xf numFmtId="3" fontId="54" fillId="0" borderId="29" xfId="1" applyNumberFormat="1" applyFont="1" applyFill="1" applyBorder="1" applyAlignment="1">
      <alignment horizontal="left" vertical="center" wrapText="1"/>
    </xf>
    <xf numFmtId="4" fontId="80" fillId="28" borderId="29" xfId="47" applyNumberFormat="1" applyFont="1" applyFill="1" applyBorder="1" applyAlignment="1">
      <alignment horizontal="right" vertical="center" wrapText="1"/>
    </xf>
    <xf numFmtId="4" fontId="80" fillId="28" borderId="46" xfId="47" applyNumberFormat="1" applyFont="1" applyFill="1" applyBorder="1" applyAlignment="1">
      <alignment horizontal="right" vertical="center" wrapText="1"/>
    </xf>
    <xf numFmtId="10" fontId="80" fillId="28" borderId="46" xfId="47" applyNumberFormat="1" applyFont="1" applyFill="1" applyBorder="1" applyAlignment="1">
      <alignment horizontal="right" vertical="center" wrapText="1"/>
    </xf>
    <xf numFmtId="4" fontId="80" fillId="28" borderId="33" xfId="47" applyNumberFormat="1" applyFont="1" applyFill="1" applyBorder="1" applyAlignment="1">
      <alignment horizontal="right" vertical="center" wrapText="1"/>
    </xf>
    <xf numFmtId="0" fontId="41" fillId="0" borderId="0" xfId="0" applyFont="1" applyFill="1" applyAlignment="1">
      <alignment horizontal="center" vertical="center"/>
    </xf>
    <xf numFmtId="49" fontId="41" fillId="0" borderId="0" xfId="0" applyNumberFormat="1" applyFont="1" applyFill="1" applyAlignment="1">
      <alignment horizontal="center" vertical="center"/>
    </xf>
    <xf numFmtId="49" fontId="41" fillId="0" borderId="0" xfId="0" applyNumberFormat="1" applyFont="1" applyFill="1" applyAlignment="1">
      <alignment horizontal="left" vertical="center"/>
    </xf>
    <xf numFmtId="3" fontId="42" fillId="0" borderId="0" xfId="0" applyNumberFormat="1" applyFont="1" applyFill="1" applyAlignment="1">
      <alignment horizontal="left" vertical="center" wrapText="1"/>
    </xf>
    <xf numFmtId="4" fontId="41" fillId="0" borderId="0" xfId="47" applyNumberFormat="1" applyFont="1" applyFill="1" applyAlignment="1">
      <alignment horizontal="right" vertical="center"/>
    </xf>
    <xf numFmtId="10" fontId="41" fillId="0" borderId="0" xfId="47" applyNumberFormat="1" applyFont="1" applyFill="1" applyAlignment="1">
      <alignment horizontal="right" vertical="center"/>
    </xf>
    <xf numFmtId="3" fontId="54" fillId="0" borderId="0" xfId="1" applyNumberFormat="1" applyFont="1" applyFill="1" applyBorder="1" applyAlignment="1">
      <alignment horizontal="left" vertical="center" wrapText="1"/>
    </xf>
    <xf numFmtId="4" fontId="0" fillId="0" borderId="0" xfId="47" applyNumberFormat="1" applyFont="1" applyAlignment="1">
      <alignment horizontal="right" vertical="center"/>
    </xf>
    <xf numFmtId="0" fontId="42" fillId="27" borderId="0" xfId="0" applyFont="1" applyFill="1" applyBorder="1" applyAlignment="1">
      <alignment vertical="center" wrapText="1"/>
    </xf>
    <xf numFmtId="4" fontId="42" fillId="27" borderId="0" xfId="47" applyNumberFormat="1" applyFont="1" applyFill="1" applyBorder="1" applyAlignment="1">
      <alignment horizontal="right" vertical="center"/>
    </xf>
    <xf numFmtId="10" fontId="42" fillId="27" borderId="0" xfId="47" applyNumberFormat="1" applyFont="1" applyFill="1" applyBorder="1" applyAlignment="1">
      <alignment horizontal="right" vertical="center"/>
    </xf>
    <xf numFmtId="4" fontId="42" fillId="27" borderId="0" xfId="47" applyNumberFormat="1" applyFont="1" applyFill="1" applyBorder="1" applyAlignment="1">
      <alignment vertical="center"/>
    </xf>
    <xf numFmtId="10" fontId="42" fillId="27" borderId="0" xfId="47" applyNumberFormat="1" applyFont="1" applyFill="1" applyBorder="1" applyAlignment="1">
      <alignment vertical="center"/>
    </xf>
    <xf numFmtId="4" fontId="54" fillId="0" borderId="0" xfId="47" applyNumberFormat="1" applyFont="1" applyAlignment="1">
      <alignment horizontal="right" vertical="center"/>
    </xf>
    <xf numFmtId="4" fontId="41" fillId="0" borderId="12" xfId="47" applyNumberFormat="1" applyFont="1" applyBorder="1" applyAlignment="1">
      <alignment horizontal="right" vertical="center"/>
    </xf>
    <xf numFmtId="4" fontId="41" fillId="0" borderId="12" xfId="47" applyNumberFormat="1" applyFont="1" applyBorder="1" applyAlignment="1">
      <alignment vertical="center"/>
    </xf>
    <xf numFmtId="0" fontId="54" fillId="27" borderId="0" xfId="0" applyFont="1" applyFill="1" applyAlignment="1">
      <alignment vertical="center" wrapText="1"/>
    </xf>
    <xf numFmtId="4" fontId="54" fillId="27" borderId="0" xfId="47" applyNumberFormat="1" applyFont="1" applyFill="1" applyAlignment="1">
      <alignment horizontal="right" vertical="center"/>
    </xf>
    <xf numFmtId="4" fontId="55" fillId="0" borderId="0" xfId="47" applyNumberFormat="1" applyFont="1" applyBorder="1" applyAlignment="1">
      <alignment horizontal="right" vertical="center"/>
    </xf>
    <xf numFmtId="4" fontId="41" fillId="0" borderId="21" xfId="47" applyNumberFormat="1" applyFont="1" applyBorder="1" applyAlignment="1">
      <alignment horizontal="right" vertical="center"/>
    </xf>
    <xf numFmtId="4" fontId="41" fillId="0" borderId="49" xfId="47" applyNumberFormat="1" applyFont="1" applyBorder="1" applyAlignment="1">
      <alignment horizontal="right" vertical="center"/>
    </xf>
    <xf numFmtId="0" fontId="54" fillId="0" borderId="0" xfId="0" applyFont="1" applyAlignment="1">
      <alignment vertical="center" wrapText="1"/>
    </xf>
    <xf numFmtId="4" fontId="54" fillId="28" borderId="0" xfId="47" applyNumberFormat="1" applyFont="1" applyFill="1" applyAlignment="1">
      <alignment horizontal="right" vertical="center"/>
    </xf>
    <xf numFmtId="4" fontId="41" fillId="28" borderId="0" xfId="0" applyNumberFormat="1" applyFont="1" applyFill="1" applyAlignment="1">
      <alignment horizontal="right"/>
    </xf>
    <xf numFmtId="4" fontId="54" fillId="28" borderId="0" xfId="0" applyNumberFormat="1" applyFont="1" applyFill="1"/>
    <xf numFmtId="4" fontId="55" fillId="0" borderId="0" xfId="47" applyNumberFormat="1" applyFont="1" applyAlignment="1">
      <alignment horizontal="right" vertical="center"/>
    </xf>
    <xf numFmtId="0" fontId="41" fillId="0" borderId="0" xfId="0" applyFont="1" applyAlignment="1">
      <alignment horizontal="left"/>
    </xf>
    <xf numFmtId="4" fontId="81" fillId="0" borderId="0" xfId="47" applyNumberFormat="1" applyFont="1" applyAlignment="1">
      <alignment vertical="center"/>
    </xf>
    <xf numFmtId="4" fontId="82" fillId="0" borderId="0" xfId="47" applyNumberFormat="1" applyFont="1" applyAlignment="1">
      <alignment horizontal="right" vertical="center"/>
    </xf>
    <xf numFmtId="4" fontId="83" fillId="0" borderId="0" xfId="47" applyNumberFormat="1" applyFont="1" applyAlignment="1">
      <alignment horizontal="right" vertical="center"/>
    </xf>
    <xf numFmtId="4" fontId="83" fillId="0" borderId="0" xfId="47" applyNumberFormat="1" applyFont="1" applyAlignment="1">
      <alignment vertical="center"/>
    </xf>
    <xf numFmtId="4" fontId="84" fillId="0" borderId="0" xfId="0" applyNumberFormat="1" applyFont="1"/>
    <xf numFmtId="0" fontId="55" fillId="0" borderId="0" xfId="0" applyFont="1" applyAlignment="1">
      <alignment horizontal="left"/>
    </xf>
    <xf numFmtId="0" fontId="55" fillId="0" borderId="0" xfId="0" applyFont="1" applyAlignment="1">
      <alignment horizontal="center"/>
    </xf>
    <xf numFmtId="0" fontId="54" fillId="0" borderId="0" xfId="0" applyFont="1" applyAlignment="1">
      <alignment horizontal="center"/>
    </xf>
    <xf numFmtId="3" fontId="1" fillId="29" borderId="10" xfId="1" applyNumberFormat="1" applyFont="1" applyFill="1" applyBorder="1" applyAlignment="1">
      <alignment vertical="center" wrapText="1"/>
    </xf>
    <xf numFmtId="3" fontId="2" fillId="0" borderId="42" xfId="1" applyNumberFormat="1" applyFont="1" applyFill="1" applyBorder="1" applyAlignment="1">
      <alignment horizontal="left" vertical="center" wrapText="1"/>
    </xf>
    <xf numFmtId="3" fontId="2" fillId="0" borderId="43" xfId="1" applyNumberFormat="1" applyFont="1" applyFill="1" applyBorder="1" applyAlignment="1">
      <alignment horizontal="left" vertical="center" wrapText="1"/>
    </xf>
    <xf numFmtId="3" fontId="2" fillId="0" borderId="44" xfId="1" applyNumberFormat="1" applyFont="1" applyFill="1" applyBorder="1" applyAlignment="1">
      <alignment horizontal="left" vertical="center" wrapText="1"/>
    </xf>
    <xf numFmtId="3" fontId="2" fillId="0" borderId="42" xfId="1" applyNumberFormat="1" applyFont="1" applyFill="1" applyBorder="1" applyAlignment="1">
      <alignment vertical="center" wrapText="1"/>
    </xf>
    <xf numFmtId="3" fontId="2" fillId="0" borderId="43" xfId="1" applyNumberFormat="1" applyFont="1" applyFill="1" applyBorder="1" applyAlignment="1">
      <alignment vertical="center" wrapText="1"/>
    </xf>
    <xf numFmtId="3" fontId="2" fillId="0" borderId="44"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29" borderId="10" xfId="1" applyFont="1" applyFill="1" applyBorder="1" applyAlignment="1">
      <alignment horizontal="left" vertical="center" wrapText="1"/>
    </xf>
    <xf numFmtId="3" fontId="2" fillId="0" borderId="10" xfId="1" applyNumberFormat="1" applyFont="1" applyFill="1" applyBorder="1" applyAlignment="1">
      <alignment vertical="center" wrapText="1"/>
    </xf>
    <xf numFmtId="3" fontId="1" fillId="29" borderId="10" xfId="1" applyNumberFormat="1" applyFont="1" applyFill="1" applyBorder="1" applyAlignment="1">
      <alignment horizontal="left" vertical="center" wrapText="1"/>
    </xf>
    <xf numFmtId="0" fontId="67" fillId="0" borderId="0" xfId="0" applyFont="1" applyAlignment="1">
      <alignment horizontal="right"/>
    </xf>
    <xf numFmtId="0" fontId="50" fillId="0" borderId="0" xfId="0" applyFont="1" applyBorder="1" applyAlignment="1">
      <alignment horizontal="center"/>
    </xf>
    <xf numFmtId="0" fontId="50" fillId="0" borderId="12" xfId="0" applyFont="1" applyBorder="1" applyAlignment="1">
      <alignment horizontal="center" wrapText="1"/>
    </xf>
    <xf numFmtId="0" fontId="36" fillId="0" borderId="0" xfId="0" applyFont="1" applyAlignment="1">
      <alignment horizontal="center" wrapText="1"/>
    </xf>
    <xf numFmtId="0" fontId="50" fillId="0" borderId="0" xfId="0" applyFont="1" applyAlignment="1">
      <alignment horizontal="center"/>
    </xf>
    <xf numFmtId="0" fontId="22" fillId="0" borderId="0" xfId="0" applyFont="1" applyAlignment="1">
      <alignment horizontal="center"/>
    </xf>
    <xf numFmtId="168" fontId="37" fillId="38" borderId="21" xfId="0" applyNumberFormat="1" applyFont="1" applyFill="1" applyBorder="1" applyAlignment="1">
      <alignment horizontal="center" vertical="center" wrapText="1" shrinkToFit="1"/>
    </xf>
    <xf numFmtId="168" fontId="37" fillId="38" borderId="49" xfId="0" applyNumberFormat="1" applyFont="1" applyFill="1" applyBorder="1" applyAlignment="1">
      <alignment horizontal="center" vertical="center" wrapText="1" shrinkToFit="1"/>
    </xf>
    <xf numFmtId="10" fontId="37" fillId="38" borderId="21" xfId="0" applyNumberFormat="1" applyFont="1" applyFill="1" applyBorder="1" applyAlignment="1">
      <alignment horizontal="center" vertical="center" wrapText="1"/>
    </xf>
    <xf numFmtId="10" fontId="37" fillId="38" borderId="49" xfId="0" applyNumberFormat="1" applyFont="1" applyFill="1" applyBorder="1" applyAlignment="1">
      <alignment horizontal="center" vertical="center" wrapText="1"/>
    </xf>
    <xf numFmtId="49" fontId="37" fillId="38" borderId="56" xfId="0" applyNumberFormat="1" applyFont="1" applyFill="1" applyBorder="1" applyAlignment="1">
      <alignment horizontal="center" vertical="center" wrapText="1"/>
    </xf>
    <xf numFmtId="49" fontId="37" fillId="38" borderId="18" xfId="0" applyNumberFormat="1" applyFont="1" applyFill="1" applyBorder="1" applyAlignment="1">
      <alignment horizontal="center" vertical="center" wrapText="1"/>
    </xf>
    <xf numFmtId="4" fontId="37" fillId="38" borderId="21" xfId="0" applyNumberFormat="1" applyFont="1" applyFill="1" applyBorder="1" applyAlignment="1">
      <alignment horizontal="center" vertical="center" wrapText="1" shrinkToFit="1"/>
    </xf>
    <xf numFmtId="0" fontId="74" fillId="27" borderId="49" xfId="0" applyFont="1" applyFill="1" applyBorder="1"/>
    <xf numFmtId="0" fontId="37" fillId="38" borderId="21" xfId="0" applyFont="1" applyFill="1" applyBorder="1" applyAlignment="1">
      <alignment horizontal="center" vertical="center" wrapText="1"/>
    </xf>
    <xf numFmtId="0" fontId="37" fillId="38" borderId="49" xfId="0" applyFont="1" applyFill="1" applyBorder="1" applyAlignment="1">
      <alignment horizontal="center" vertical="center" wrapText="1"/>
    </xf>
    <xf numFmtId="4" fontId="37" fillId="38" borderId="49" xfId="0" applyNumberFormat="1" applyFont="1" applyFill="1" applyBorder="1" applyAlignment="1">
      <alignment horizontal="center" vertical="center" wrapText="1" shrinkToFit="1"/>
    </xf>
    <xf numFmtId="165" fontId="39" fillId="28" borderId="0" xfId="0" applyNumberFormat="1" applyFont="1" applyFill="1" applyAlignment="1">
      <alignment horizontal="center"/>
    </xf>
    <xf numFmtId="10" fontId="39" fillId="28" borderId="0" xfId="0" applyNumberFormat="1" applyFont="1" applyFill="1" applyBorder="1" applyAlignment="1">
      <alignment horizontal="center"/>
    </xf>
    <xf numFmtId="0" fontId="39" fillId="28" borderId="12" xfId="0" applyFont="1" applyFill="1" applyBorder="1" applyAlignment="1">
      <alignment horizontal="center"/>
    </xf>
    <xf numFmtId="49" fontId="37" fillId="0" borderId="0" xfId="0" applyNumberFormat="1" applyFont="1" applyBorder="1" applyAlignment="1">
      <alignment horizontal="center" vertical="center" wrapText="1"/>
    </xf>
    <xf numFmtId="0" fontId="41" fillId="0" borderId="0" xfId="0" applyFont="1" applyAlignment="1">
      <alignment horizontal="left"/>
    </xf>
    <xf numFmtId="0" fontId="71" fillId="0" borderId="0" xfId="0" applyFont="1" applyAlignment="1">
      <alignment horizontal="center"/>
    </xf>
    <xf numFmtId="4" fontId="42" fillId="0" borderId="0" xfId="0" applyNumberFormat="1" applyFont="1" applyAlignment="1">
      <alignment horizontal="center"/>
    </xf>
    <xf numFmtId="0" fontId="41" fillId="0" borderId="11" xfId="0" applyFont="1" applyBorder="1" applyAlignment="1">
      <alignment horizontal="left"/>
    </xf>
    <xf numFmtId="0" fontId="42" fillId="0" borderId="34" xfId="0" applyFont="1" applyBorder="1" applyAlignment="1">
      <alignment horizontal="right"/>
    </xf>
    <xf numFmtId="0" fontId="42" fillId="0" borderId="63" xfId="0" applyFont="1" applyBorder="1" applyAlignment="1">
      <alignment horizontal="right"/>
    </xf>
    <xf numFmtId="0" fontId="42" fillId="0" borderId="14" xfId="0" applyFont="1" applyBorder="1" applyAlignment="1">
      <alignment horizontal="right"/>
    </xf>
    <xf numFmtId="0" fontId="41" fillId="0" borderId="34" xfId="0" applyFont="1" applyBorder="1" applyAlignment="1">
      <alignment horizontal="left"/>
    </xf>
    <xf numFmtId="0" fontId="41" fillId="0" borderId="63" xfId="0" applyFont="1" applyBorder="1" applyAlignment="1">
      <alignment horizontal="left"/>
    </xf>
    <xf numFmtId="0" fontId="41" fillId="0" borderId="14" xfId="0" applyFont="1" applyBorder="1" applyAlignment="1">
      <alignment horizontal="left"/>
    </xf>
    <xf numFmtId="0" fontId="42" fillId="0" borderId="34" xfId="0" applyFont="1" applyBorder="1" applyAlignment="1">
      <alignment horizontal="center" vertical="center"/>
    </xf>
    <xf numFmtId="0" fontId="42" fillId="0" borderId="63" xfId="0" applyFont="1" applyBorder="1" applyAlignment="1">
      <alignment horizontal="center" vertical="center"/>
    </xf>
    <xf numFmtId="0" fontId="42" fillId="0" borderId="14" xfId="0" applyFont="1" applyBorder="1" applyAlignment="1">
      <alignment horizontal="center" vertical="center"/>
    </xf>
    <xf numFmtId="0" fontId="41" fillId="0" borderId="0" xfId="0" applyFont="1" applyAlignment="1">
      <alignment horizontal="center"/>
    </xf>
    <xf numFmtId="0" fontId="41" fillId="0" borderId="0" xfId="0" applyFont="1" applyAlignment="1">
      <alignment horizontal="left" wrapText="1"/>
    </xf>
    <xf numFmtId="4" fontId="54" fillId="0" borderId="0" xfId="47" applyNumberFormat="1" applyFont="1" applyAlignment="1">
      <alignment horizontal="center"/>
    </xf>
    <xf numFmtId="4" fontId="39" fillId="6" borderId="11" xfId="1" applyNumberFormat="1" applyFont="1" applyFill="1" applyBorder="1" applyAlignment="1">
      <alignment horizontal="center" vertical="center" wrapText="1"/>
    </xf>
    <xf numFmtId="4" fontId="39" fillId="6" borderId="11" xfId="47" applyNumberFormat="1" applyFont="1" applyFill="1" applyBorder="1" applyAlignment="1">
      <alignment horizontal="center" vertical="center" wrapText="1"/>
    </xf>
    <xf numFmtId="49" fontId="50" fillId="0" borderId="12" xfId="1" applyNumberFormat="1" applyFont="1" applyBorder="1" applyAlignment="1">
      <alignment horizontal="center" vertical="center" wrapText="1"/>
    </xf>
    <xf numFmtId="4" fontId="39" fillId="6" borderId="21" xfId="1" applyNumberFormat="1" applyFont="1" applyFill="1" applyBorder="1" applyAlignment="1">
      <alignment horizontal="center" vertical="center" wrapText="1"/>
    </xf>
    <xf numFmtId="4" fontId="39" fillId="6" borderId="49" xfId="1" applyNumberFormat="1" applyFont="1" applyFill="1" applyBorder="1" applyAlignment="1">
      <alignment horizontal="center" vertical="center" wrapText="1"/>
    </xf>
    <xf numFmtId="4" fontId="39" fillId="6" borderId="21" xfId="47" applyNumberFormat="1" applyFont="1" applyFill="1" applyBorder="1" applyAlignment="1">
      <alignment horizontal="center" vertical="center" wrapText="1"/>
    </xf>
    <xf numFmtId="4" fontId="39" fillId="6" borderId="49" xfId="47" applyNumberFormat="1" applyFont="1" applyFill="1" applyBorder="1" applyAlignment="1">
      <alignment horizontal="center" vertical="center" wrapText="1"/>
    </xf>
    <xf numFmtId="10" fontId="39" fillId="6" borderId="21" xfId="47" applyNumberFormat="1" applyFont="1" applyFill="1" applyBorder="1" applyAlignment="1">
      <alignment horizontal="center" vertical="center" wrapText="1"/>
    </xf>
    <xf numFmtId="10" fontId="39" fillId="6" borderId="49" xfId="47" applyNumberFormat="1" applyFont="1" applyFill="1" applyBorder="1" applyAlignment="1">
      <alignment horizontal="center" vertical="center" wrapText="1"/>
    </xf>
    <xf numFmtId="10" fontId="39" fillId="6" borderId="21" xfId="1" applyNumberFormat="1" applyFont="1" applyFill="1" applyBorder="1" applyAlignment="1">
      <alignment horizontal="center" vertical="center" wrapText="1"/>
    </xf>
    <xf numFmtId="10" fontId="39" fillId="6" borderId="49" xfId="1" applyNumberFormat="1" applyFont="1" applyFill="1" applyBorder="1" applyAlignment="1">
      <alignment horizontal="center" vertical="center" wrapText="1"/>
    </xf>
    <xf numFmtId="0" fontId="68" fillId="0" borderId="0" xfId="0" applyFont="1" applyAlignment="1">
      <alignment horizontal="center"/>
    </xf>
    <xf numFmtId="0" fontId="41" fillId="0" borderId="0" xfId="0" applyFont="1" applyAlignment="1">
      <alignment horizontal="left" vertical="center"/>
    </xf>
    <xf numFmtId="4" fontId="41" fillId="0" borderId="0" xfId="47" applyNumberFormat="1" applyFont="1" applyAlignment="1">
      <alignment horizontal="center"/>
    </xf>
    <xf numFmtId="0" fontId="39" fillId="6" borderId="34" xfId="1" applyFont="1" applyFill="1" applyBorder="1" applyAlignment="1">
      <alignment horizontal="center" vertical="center" wrapText="1"/>
    </xf>
    <xf numFmtId="0" fontId="39" fillId="6" borderId="14" xfId="1" applyFont="1" applyFill="1" applyBorder="1" applyAlignment="1">
      <alignment horizontal="center" vertical="center" wrapText="1"/>
    </xf>
    <xf numFmtId="0" fontId="39" fillId="6" borderId="13" xfId="1" applyFont="1" applyFill="1" applyBorder="1" applyAlignment="1">
      <alignment horizontal="center" vertical="center" wrapText="1"/>
    </xf>
    <xf numFmtId="0" fontId="39" fillId="6" borderId="11" xfId="1" applyFont="1" applyFill="1" applyBorder="1" applyAlignment="1">
      <alignment horizontal="center" vertical="center" wrapText="1"/>
    </xf>
    <xf numFmtId="0" fontId="42" fillId="0" borderId="11" xfId="0" applyFont="1" applyBorder="1" applyAlignment="1">
      <alignment horizontal="right"/>
    </xf>
    <xf numFmtId="0" fontId="41" fillId="0" borderId="11" xfId="0" applyFont="1" applyBorder="1" applyAlignment="1">
      <alignment horizontal="left" wrapText="1"/>
    </xf>
    <xf numFmtId="0" fontId="41" fillId="0" borderId="34" xfId="0" applyFont="1" applyBorder="1" applyAlignment="1">
      <alignment horizontal="left" vertical="center"/>
    </xf>
    <xf numFmtId="0" fontId="41" fillId="0" borderId="63" xfId="0" applyFont="1" applyBorder="1" applyAlignment="1">
      <alignment horizontal="left" vertical="center"/>
    </xf>
    <xf numFmtId="0" fontId="41" fillId="0" borderId="14" xfId="0" applyFont="1" applyBorder="1" applyAlignment="1">
      <alignment horizontal="left" vertical="center"/>
    </xf>
    <xf numFmtId="0" fontId="42" fillId="0" borderId="0" xfId="0" applyFont="1" applyAlignment="1">
      <alignment horizontal="center"/>
    </xf>
    <xf numFmtId="0" fontId="63" fillId="0" borderId="33" xfId="0" applyFont="1" applyBorder="1" applyAlignment="1">
      <alignment horizontal="center"/>
    </xf>
    <xf numFmtId="49" fontId="51" fillId="0" borderId="0" xfId="0" applyNumberFormat="1" applyFont="1" applyBorder="1" applyAlignment="1">
      <alignment horizontal="center" vertical="center" wrapText="1"/>
    </xf>
    <xf numFmtId="0" fontId="65" fillId="0" borderId="0" xfId="0" applyFont="1" applyAlignment="1">
      <alignment horizontal="left"/>
    </xf>
    <xf numFmtId="0" fontId="62" fillId="0" borderId="0" xfId="0" applyFont="1" applyAlignment="1">
      <alignment horizontal="center"/>
    </xf>
    <xf numFmtId="49" fontId="50" fillId="0" borderId="12" xfId="0" applyNumberFormat="1" applyFont="1" applyBorder="1" applyAlignment="1">
      <alignment horizontal="center" vertical="center" wrapText="1"/>
    </xf>
    <xf numFmtId="4" fontId="42" fillId="0" borderId="0" xfId="47" applyNumberFormat="1" applyFont="1" applyAlignment="1">
      <alignment horizontal="center" vertical="center"/>
    </xf>
    <xf numFmtId="0" fontId="77" fillId="0" borderId="0" xfId="0" applyFont="1" applyAlignment="1">
      <alignment horizontal="center" vertical="center"/>
    </xf>
    <xf numFmtId="0" fontId="68" fillId="0" borderId="12" xfId="0" applyFont="1" applyBorder="1" applyAlignment="1">
      <alignment horizontal="center" vertical="center"/>
    </xf>
    <xf numFmtId="0" fontId="62" fillId="0" borderId="0" xfId="0" applyFont="1" applyAlignment="1">
      <alignment horizontal="center" vertical="center"/>
    </xf>
    <xf numFmtId="0" fontId="68" fillId="0" borderId="0" xfId="0" applyFont="1" applyAlignment="1">
      <alignment horizontal="center" vertical="center"/>
    </xf>
    <xf numFmtId="0" fontId="65" fillId="0" borderId="34" xfId="0" applyFont="1" applyBorder="1" applyAlignment="1">
      <alignment horizontal="left" vertical="center" wrapText="1"/>
    </xf>
    <xf numFmtId="0" fontId="65" fillId="0" borderId="63" xfId="0" applyFont="1" applyBorder="1" applyAlignment="1">
      <alignment horizontal="left" vertical="center" wrapText="1"/>
    </xf>
    <xf numFmtId="0" fontId="65" fillId="0" borderId="14" xfId="0" applyFont="1" applyBorder="1" applyAlignment="1">
      <alignment horizontal="left" vertical="center" wrapText="1"/>
    </xf>
    <xf numFmtId="0" fontId="65" fillId="0" borderId="34" xfId="0" applyFont="1" applyBorder="1" applyAlignment="1">
      <alignment horizontal="center" vertical="center" wrapText="1"/>
    </xf>
    <xf numFmtId="0" fontId="65" fillId="0" borderId="63" xfId="0" applyFont="1" applyBorder="1" applyAlignment="1">
      <alignment horizontal="center" vertical="center" wrapText="1"/>
    </xf>
    <xf numFmtId="0" fontId="65" fillId="28" borderId="34" xfId="0" applyFont="1" applyFill="1" applyBorder="1" applyAlignment="1">
      <alignment horizontal="center" vertical="center" wrapText="1"/>
    </xf>
    <xf numFmtId="0" fontId="65" fillId="28" borderId="63" xfId="0" applyFont="1" applyFill="1" applyBorder="1" applyAlignment="1">
      <alignment horizontal="center" vertical="center" wrapText="1"/>
    </xf>
    <xf numFmtId="0" fontId="54" fillId="0" borderId="34" xfId="0" applyFont="1" applyBorder="1" applyAlignment="1">
      <alignment horizontal="center" vertical="center" wrapText="1"/>
    </xf>
    <xf numFmtId="0" fontId="54" fillId="0" borderId="63" xfId="0" applyFont="1" applyBorder="1" applyAlignment="1">
      <alignment horizontal="center" vertical="center" wrapText="1"/>
    </xf>
    <xf numFmtId="0" fontId="59" fillId="0" borderId="11" xfId="0" applyFont="1" applyBorder="1" applyAlignment="1">
      <alignment horizontal="center"/>
    </xf>
    <xf numFmtId="0" fontId="65" fillId="0" borderId="14" xfId="0" applyFont="1" applyBorder="1" applyAlignment="1">
      <alignment horizontal="center" vertical="center" wrapText="1"/>
    </xf>
    <xf numFmtId="0" fontId="65" fillId="0" borderId="34" xfId="0" applyFont="1" applyBorder="1" applyAlignment="1">
      <alignment horizontal="left"/>
    </xf>
    <xf numFmtId="0" fontId="65" fillId="0" borderId="63" xfId="0" applyFont="1" applyBorder="1" applyAlignment="1">
      <alignment horizontal="left"/>
    </xf>
    <xf numFmtId="0" fontId="65" fillId="0" borderId="14" xfId="0" applyFont="1" applyBorder="1" applyAlignment="1">
      <alignment horizontal="left"/>
    </xf>
    <xf numFmtId="0" fontId="65" fillId="0" borderId="34" xfId="0" applyFont="1" applyBorder="1" applyAlignment="1">
      <alignment horizontal="left" wrapText="1"/>
    </xf>
    <xf numFmtId="0" fontId="65" fillId="0" borderId="63" xfId="0" applyFont="1" applyBorder="1" applyAlignment="1">
      <alignment horizontal="left" wrapText="1"/>
    </xf>
    <xf numFmtId="0" fontId="65" fillId="0" borderId="14" xfId="0" applyFont="1" applyBorder="1" applyAlignment="1">
      <alignment horizontal="left" wrapText="1"/>
    </xf>
    <xf numFmtId="0" fontId="55" fillId="0" borderId="11" xfId="0" applyFont="1" applyBorder="1" applyAlignment="1">
      <alignment horizontal="center" vertical="center" wrapText="1"/>
    </xf>
    <xf numFmtId="0" fontId="65" fillId="0" borderId="11" xfId="0" applyFont="1" applyBorder="1" applyAlignment="1">
      <alignment horizontal="center" vertical="center" wrapText="1"/>
    </xf>
    <xf numFmtId="0" fontId="59" fillId="0" borderId="11" xfId="0" applyFont="1" applyBorder="1" applyAlignment="1">
      <alignment horizontal="right"/>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xf numFmtId="0" fontId="55" fillId="28" borderId="34" xfId="0" applyFont="1" applyFill="1" applyBorder="1" applyAlignment="1">
      <alignment horizontal="left" vertical="center" wrapText="1"/>
    </xf>
    <xf numFmtId="0" fontId="55" fillId="28" borderId="63" xfId="0" applyFont="1" applyFill="1" applyBorder="1" applyAlignment="1">
      <alignment horizontal="left" vertical="center" wrapText="1"/>
    </xf>
    <xf numFmtId="0" fontId="55" fillId="28" borderId="14" xfId="0" applyFont="1" applyFill="1" applyBorder="1" applyAlignment="1">
      <alignment horizontal="left" vertical="center" wrapText="1"/>
    </xf>
    <xf numFmtId="0" fontId="55" fillId="0" borderId="11" xfId="0" applyFont="1" applyBorder="1" applyAlignment="1">
      <alignment horizontal="left"/>
    </xf>
    <xf numFmtId="0" fontId="55" fillId="0" borderId="34" xfId="0" applyFont="1" applyBorder="1" applyAlignment="1">
      <alignment horizontal="left"/>
    </xf>
    <xf numFmtId="0" fontId="55" fillId="0" borderId="63" xfId="0" applyFont="1" applyBorder="1" applyAlignment="1">
      <alignment horizontal="left"/>
    </xf>
    <xf numFmtId="0" fontId="55" fillId="0" borderId="14" xfId="0" applyFont="1" applyBorder="1" applyAlignment="1">
      <alignment horizontal="left"/>
    </xf>
    <xf numFmtId="0" fontId="55" fillId="0" borderId="34" xfId="0" applyFont="1" applyBorder="1" applyAlignment="1">
      <alignment horizontal="center"/>
    </xf>
    <xf numFmtId="0" fontId="55" fillId="0" borderId="63" xfId="0" applyFont="1" applyBorder="1" applyAlignment="1">
      <alignment horizontal="center"/>
    </xf>
    <xf numFmtId="0" fontId="55" fillId="0" borderId="14" xfId="0" applyFont="1" applyBorder="1" applyAlignment="1">
      <alignment horizontal="center"/>
    </xf>
    <xf numFmtId="0" fontId="55" fillId="0" borderId="34" xfId="0" applyFont="1" applyBorder="1" applyAlignment="1">
      <alignment horizontal="left" wrapText="1"/>
    </xf>
    <xf numFmtId="0" fontId="55" fillId="0" borderId="63" xfId="0" applyFont="1" applyBorder="1" applyAlignment="1">
      <alignment horizontal="left" wrapText="1"/>
    </xf>
    <xf numFmtId="0" fontId="55" fillId="0" borderId="14" xfId="0" applyFont="1" applyBorder="1" applyAlignment="1">
      <alignment horizontal="left" wrapText="1"/>
    </xf>
    <xf numFmtId="0" fontId="55" fillId="0" borderId="11" xfId="0" applyFont="1" applyBorder="1" applyAlignment="1">
      <alignment horizontal="right"/>
    </xf>
    <xf numFmtId="0" fontId="64" fillId="0" borderId="0" xfId="0" applyFont="1" applyAlignment="1">
      <alignment horizontal="center"/>
    </xf>
    <xf numFmtId="4" fontId="64" fillId="0" borderId="34" xfId="0" applyNumberFormat="1" applyFont="1" applyBorder="1" applyAlignment="1">
      <alignment horizontal="center"/>
    </xf>
    <xf numFmtId="4" fontId="64" fillId="0" borderId="63" xfId="0" applyNumberFormat="1" applyFont="1" applyBorder="1" applyAlignment="1">
      <alignment horizontal="center"/>
    </xf>
    <xf numFmtId="4" fontId="64" fillId="0" borderId="14" xfId="0" applyNumberFormat="1" applyFont="1" applyBorder="1" applyAlignment="1">
      <alignment horizontal="center"/>
    </xf>
    <xf numFmtId="0" fontId="85" fillId="0" borderId="69" xfId="0" applyFont="1" applyBorder="1" applyAlignment="1">
      <alignment horizontal="center" vertical="center" wrapText="1"/>
    </xf>
    <xf numFmtId="0" fontId="85" fillId="0" borderId="70" xfId="0" applyFont="1" applyBorder="1" applyAlignment="1">
      <alignment horizontal="center" vertical="center" wrapText="1"/>
    </xf>
    <xf numFmtId="0" fontId="85" fillId="0" borderId="71" xfId="0" applyFont="1" applyBorder="1" applyAlignment="1">
      <alignment vertical="center"/>
    </xf>
    <xf numFmtId="10" fontId="85" fillId="0" borderId="72" xfId="0" applyNumberFormat="1" applyFont="1" applyBorder="1" applyAlignment="1">
      <alignment horizontal="right" vertical="center"/>
    </xf>
    <xf numFmtId="4" fontId="85" fillId="0" borderId="72" xfId="0" applyNumberFormat="1" applyFont="1" applyBorder="1" applyAlignment="1">
      <alignment horizontal="right" vertical="center"/>
    </xf>
    <xf numFmtId="0" fontId="85" fillId="0" borderId="72" xfId="0" applyFont="1" applyBorder="1" applyAlignment="1">
      <alignment horizontal="right" vertical="center"/>
    </xf>
    <xf numFmtId="0" fontId="0" fillId="0" borderId="0" xfId="0" applyFont="1"/>
    <xf numFmtId="0" fontId="0" fillId="34" borderId="0" xfId="0" applyFill="1"/>
  </cellXfs>
  <cellStyles count="6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2"/>
    <cellStyle name="Calculation 4" xfId="57"/>
    <cellStyle name="Check Cell 2" xfId="28"/>
    <cellStyle name="Comma" xfId="47" builtinId="3"/>
    <cellStyle name="Comma 2" xfId="29"/>
    <cellStyle name="Comma 3" xfId="50"/>
    <cellStyle name="Explanatory Text 2" xfId="30"/>
    <cellStyle name="Good 2" xfId="31"/>
    <cellStyle name="Heading 1 2" xfId="32"/>
    <cellStyle name="Heading 2 2" xfId="33"/>
    <cellStyle name="Heading 3 2" xfId="34"/>
    <cellStyle name="Heading 4 2" xfId="35"/>
    <cellStyle name="Input 2" xfId="36"/>
    <cellStyle name="Input 3" xfId="53"/>
    <cellStyle name="Input 4" xfId="58"/>
    <cellStyle name="Linked Cell 2" xfId="37"/>
    <cellStyle name="Neutral 2" xfId="38"/>
    <cellStyle name="Normal" xfId="0" builtinId="0"/>
    <cellStyle name="Normal 2" xfId="1"/>
    <cellStyle name="Normal 2 2" xfId="51"/>
    <cellStyle name="Normal 3" xfId="46"/>
    <cellStyle name="Normal_Расходи по корисницима" xfId="49"/>
    <cellStyle name="Note 2" xfId="39"/>
    <cellStyle name="Note 3" xfId="54"/>
    <cellStyle name="Note 4" xfId="59"/>
    <cellStyle name="Output 2" xfId="40"/>
    <cellStyle name="Output 3" xfId="55"/>
    <cellStyle name="Output 4" xfId="60"/>
    <cellStyle name="Percent" xfId="48" builtinId="5"/>
    <cellStyle name="Percent 2" xfId="41"/>
    <cellStyle name="Percent 3" xfId="45"/>
    <cellStyle name="Title 2" xfId="42"/>
    <cellStyle name="Total 2" xfId="43"/>
    <cellStyle name="Total 3" xfId="56"/>
    <cellStyle name="Total 4" xfId="61"/>
    <cellStyle name="Warning Text 2" xfId="44"/>
  </cellStyles>
  <dxfs count="10">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lor rgb="FFFF0000"/>
      </font>
      <fill>
        <patternFill>
          <bgColor theme="5" tint="0.39994506668294322"/>
        </patternFill>
      </fill>
    </dxf>
    <dxf>
      <font>
        <condense val="0"/>
        <extend val="0"/>
        <color rgb="FF9C0006"/>
      </font>
      <fill>
        <patternFill>
          <bgColor rgb="FFFFC7CE"/>
        </patternFill>
      </fill>
    </dxf>
    <dxf>
      <font>
        <color rgb="FFFF0000"/>
      </font>
      <fill>
        <patternFill>
          <bgColor theme="5" tint="0.39994506668294322"/>
        </patternFill>
      </fill>
    </dxf>
    <dxf>
      <font>
        <color auto="1"/>
      </font>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6600"/>
      <color rgb="FF1B1B1B"/>
      <color rgb="FF66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sr-Latn-RS"/>
            </a:pPr>
            <a:r>
              <a:rPr lang="x-none"/>
              <a:t>Струтура</a:t>
            </a:r>
            <a:r>
              <a:rPr lang="x-none" baseline="0"/>
              <a:t> буџета по економској класификацији </a:t>
            </a:r>
            <a:endParaRPr lang="en-US"/>
          </a:p>
        </c:rich>
      </c:tx>
      <c:overlay val="0"/>
    </c:title>
    <c:autoTitleDeleted val="0"/>
    <c:plotArea>
      <c:layout/>
      <c:pieChart>
        <c:varyColors val="1"/>
        <c:ser>
          <c:idx val="0"/>
          <c:order val="0"/>
          <c:explosion val="25"/>
          <c:dLbls>
            <c:spPr>
              <a:noFill/>
              <a:ln>
                <a:noFill/>
              </a:ln>
              <a:effectLst/>
            </c:spPr>
            <c:txPr>
              <a:bodyPr/>
              <a:lstStyle/>
              <a:p>
                <a:pPr>
                  <a:defRPr lang="sr-Latn-RS"/>
                </a:pPr>
                <a:endParaRPr lang="sr-Latn-RS"/>
              </a:p>
            </c:txPr>
            <c:showLegendKey val="0"/>
            <c:showVal val="0"/>
            <c:showCatName val="1"/>
            <c:showSerName val="0"/>
            <c:showPercent val="1"/>
            <c:showBubbleSize val="0"/>
            <c:showLeaderLines val="0"/>
            <c:extLst>
              <c:ext xmlns:c15="http://schemas.microsoft.com/office/drawing/2012/chart" uri="{CE6537A1-D6FC-4f65-9D91-7224C49458BB}"/>
            </c:extLst>
          </c:dLbls>
          <c:cat>
            <c:multiLvlStrRef>
              <c:f>('По основ. нам.'!$A$8:$B$8,'По основ. нам.'!$A$17:$B$17,'По основ. нам.'!$A$24:$B$24,'По основ. нам.'!$A$30:$B$30,'По основ. нам.'!$A$35:$B$35,'По основ. нам.'!$A$41:$B$41,'По основ. нам.'!$A$48:$B$48,'По основ. нам.'!$A$50:$B$50,'По основ. нам.'!$A$57:$B$57,'По основ. нам.'!$A$65:$B$65,'По основ. нам.'!$A$71:$B$71,'По основ. нам.'!$A$76:$B$76,'По основ. нам.'!$A$83:$B$83,'По основ. нам.'!$A$87:$B$87)</c:f>
              <c:multiLvlStrCache>
                <c:ptCount val="14"/>
                <c:lvl>
                  <c:pt idx="0">
                    <c:v>РАСХОДИ ЗА ЗАПОСЛЕНЕ</c:v>
                  </c:pt>
                  <c:pt idx="1">
                    <c:v>КОРИШЋЕЊЕ УСЛУГА И РОБА</c:v>
                  </c:pt>
                  <c:pt idx="2">
                    <c:v>УПОТРЕБА ОСНОВНИХ СРЕДСТАВА</c:v>
                  </c:pt>
                  <c:pt idx="3">
                    <c:v>ОТПЛАТА КАМАТА</c:v>
                  </c:pt>
                  <c:pt idx="4">
                    <c:v>СУБВЕНЦИЈЕ</c:v>
                  </c:pt>
                  <c:pt idx="5">
                    <c:v>ДОНАЦИЈЕ И ТРАНСФЕРИ</c:v>
                  </c:pt>
                  <c:pt idx="6">
                    <c:v>СОЦИЈАЛНА ПОМОЋ</c:v>
                  </c:pt>
                  <c:pt idx="7">
                    <c:v>ОСТАЛИ РАСХОДИ</c:v>
                  </c:pt>
                  <c:pt idx="8">
                    <c:v>АДМИНИСТРАТИВНИ ТРАНСФЕРИ БУЏЕТА</c:v>
                  </c:pt>
                  <c:pt idx="9">
                    <c:v>ОСНОВНА СРЕДСТВА</c:v>
                  </c:pt>
                  <c:pt idx="10">
                    <c:v>ЗАЛИХЕ</c:v>
                  </c:pt>
                  <c:pt idx="11">
                    <c:v>ПРИРОДНА ИМОВИНА</c:v>
                  </c:pt>
                  <c:pt idx="12">
                    <c:v>ОТПЛАТА ГЛАВНИЦЕ </c:v>
                  </c:pt>
                  <c:pt idx="13">
                    <c:v>Набавка финансијске имовине</c:v>
                  </c:pt>
                </c:lvl>
                <c:lvl>
                  <c:pt idx="0">
                    <c:v>410</c:v>
                  </c:pt>
                  <c:pt idx="1">
                    <c:v>420</c:v>
                  </c:pt>
                  <c:pt idx="2">
                    <c:v>430</c:v>
                  </c:pt>
                  <c:pt idx="3">
                    <c:v>440</c:v>
                  </c:pt>
                  <c:pt idx="4">
                    <c:v>450</c:v>
                  </c:pt>
                  <c:pt idx="5">
                    <c:v>460</c:v>
                  </c:pt>
                  <c:pt idx="6">
                    <c:v>470</c:v>
                  </c:pt>
                  <c:pt idx="7">
                    <c:v>480</c:v>
                  </c:pt>
                  <c:pt idx="8">
                    <c:v>490</c:v>
                  </c:pt>
                  <c:pt idx="9">
                    <c:v>510</c:v>
                  </c:pt>
                  <c:pt idx="10">
                    <c:v>520</c:v>
                  </c:pt>
                  <c:pt idx="11">
                    <c:v>540</c:v>
                  </c:pt>
                  <c:pt idx="12">
                    <c:v>610</c:v>
                  </c:pt>
                  <c:pt idx="13">
                    <c:v>620</c:v>
                  </c:pt>
                </c:lvl>
              </c:multiLvlStrCache>
            </c:multiLvlStrRef>
          </c:cat>
          <c:val>
            <c:numRef>
              <c:f>('По основ. нам.'!$C$8,'По основ. нам.'!$C$17,'По основ. нам.'!$C$24,'По основ. нам.'!$C$30,'По основ. нам.'!$C$35,'По основ. нам.'!$C$41,'По основ. нам.'!$C$48,'По основ. нам.'!$C$50,'По основ. нам.'!$C$57,'По основ. нам.'!$C$65,'По основ. нам.'!$C$71,'По основ. нам.'!$C$76,'По основ. нам.'!$C$83,'По основ. нам.'!$C$87)</c:f>
              <c:numCache>
                <c:formatCode>#,##0.00</c:formatCode>
                <c:ptCount val="14"/>
                <c:pt idx="0">
                  <c:v>104157898</c:v>
                </c:pt>
                <c:pt idx="1">
                  <c:v>147011654</c:v>
                </c:pt>
                <c:pt idx="2">
                  <c:v>0</c:v>
                </c:pt>
                <c:pt idx="3">
                  <c:v>1055000</c:v>
                </c:pt>
                <c:pt idx="4">
                  <c:v>22298996</c:v>
                </c:pt>
                <c:pt idx="5">
                  <c:v>54351477</c:v>
                </c:pt>
                <c:pt idx="6">
                  <c:v>25475000</c:v>
                </c:pt>
                <c:pt idx="7">
                  <c:v>20300500</c:v>
                </c:pt>
                <c:pt idx="8">
                  <c:v>363099</c:v>
                </c:pt>
                <c:pt idx="9">
                  <c:v>38176124.810000002</c:v>
                </c:pt>
                <c:pt idx="10">
                  <c:v>0</c:v>
                </c:pt>
                <c:pt idx="11">
                  <c:v>900000</c:v>
                </c:pt>
                <c:pt idx="12">
                  <c:v>3770000</c:v>
                </c:pt>
                <c:pt idx="13">
                  <c:v>0</c:v>
                </c:pt>
              </c:numCache>
            </c:numRef>
          </c:val>
        </c:ser>
        <c:dLbls>
          <c:showLegendKey val="0"/>
          <c:showVal val="0"/>
          <c:showCatName val="1"/>
          <c:showSerName val="0"/>
          <c:showPercent val="1"/>
          <c:showBubbleSize val="0"/>
          <c:showLeaderLines val="0"/>
        </c:dLbls>
        <c:firstSliceAng val="0"/>
      </c:pieChart>
    </c:plotArea>
    <c:plotVisOnly val="1"/>
    <c:dispBlanksAs val="zero"/>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x-none"/>
              <a:t>Структура буџета по програмској класификацији</a:t>
            </a:r>
            <a:endParaRPr lang="en-US"/>
          </a:p>
        </c:rich>
      </c:tx>
      <c:layout>
        <c:manualLayout>
          <c:xMode val="edge"/>
          <c:yMode val="edge"/>
          <c:x val="8.8610279348884768E-2"/>
          <c:y val="1.6309885251289263E-2"/>
        </c:manualLayout>
      </c:layout>
      <c:overlay val="1"/>
    </c:title>
    <c:autoTitleDeleted val="0"/>
    <c:plotArea>
      <c:layout>
        <c:manualLayout>
          <c:layoutTarget val="inner"/>
          <c:xMode val="edge"/>
          <c:yMode val="edge"/>
          <c:x val="2.8422402060853516E-2"/>
          <c:y val="0.30585418379211288"/>
          <c:w val="0.43132728200642434"/>
          <c:h val="0.66786147228830639"/>
        </c:manualLayout>
      </c:layout>
      <c:pieChart>
        <c:varyColors val="1"/>
        <c:dLbls>
          <c:showLegendKey val="0"/>
          <c:showVal val="0"/>
          <c:showCatName val="0"/>
          <c:showSerName val="0"/>
          <c:showPercent val="0"/>
          <c:showBubbleSize val="0"/>
          <c:showLeaderLines val="0"/>
        </c:dLbls>
        <c:firstSliceAng val="0"/>
      </c:pieChart>
    </c:plotArea>
    <c:legend>
      <c:legendPos val="r"/>
      <c:layout>
        <c:manualLayout>
          <c:xMode val="edge"/>
          <c:yMode val="edge"/>
          <c:x val="0.66902766409030279"/>
          <c:y val="0.10139848890422508"/>
          <c:w val="0.32052916772501794"/>
          <c:h val="0.89786833331433724"/>
        </c:manualLayout>
      </c:layout>
      <c:overlay val="0"/>
    </c:legend>
    <c:plotVisOnly val="1"/>
    <c:dispBlanksAs val="zero"/>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sr-Latn-RS" sz="1600" b="1" i="0" u="none" strike="noStrike" kern="1200" baseline="0">
                <a:solidFill>
                  <a:schemeClr val="tx1">
                    <a:lumMod val="65000"/>
                    <a:lumOff val="35000"/>
                  </a:schemeClr>
                </a:solidFill>
                <a:latin typeface="+mn-lt"/>
                <a:ea typeface="+mn-ea"/>
                <a:cs typeface="+mn-cs"/>
              </a:defRPr>
            </a:pPr>
            <a:r>
              <a:rPr lang="x-none"/>
              <a:t>Структура буџета по функционалној класификацији</a:t>
            </a:r>
            <a:endParaRPr lang="en-US"/>
          </a:p>
        </c:rich>
      </c:tx>
      <c:layout>
        <c:manualLayout>
          <c:xMode val="edge"/>
          <c:yMode val="edge"/>
          <c:x val="1.1286089238845432E-3"/>
          <c:y val="3.5703779004267605E-2"/>
        </c:manualLayout>
      </c:layout>
      <c:overlay val="0"/>
      <c:spPr>
        <a:noFill/>
        <a:ln>
          <a:noFill/>
        </a:ln>
        <a:effectLst/>
      </c:spPr>
    </c:title>
    <c:autoTitleDeleted val="0"/>
    <c:plotArea>
      <c:layout>
        <c:manualLayout>
          <c:layoutTarget val="inner"/>
          <c:xMode val="edge"/>
          <c:yMode val="edge"/>
          <c:x val="0.26960982011394918"/>
          <c:y val="3.0615256984562779E-4"/>
          <c:w val="0.62744702643879113"/>
          <c:h val="0.62320010186010733"/>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lang="sr-Latn-RS" sz="900" b="0" i="0" u="none" strike="noStrike" kern="1200" baseline="0">
                    <a:solidFill>
                      <a:schemeClr val="tx1">
                        <a:lumMod val="75000"/>
                        <a:lumOff val="25000"/>
                      </a:schemeClr>
                    </a:solidFill>
                    <a:latin typeface="+mn-lt"/>
                    <a:ea typeface="+mn-ea"/>
                    <a:cs typeface="+mn-cs"/>
                  </a:defRPr>
                </a:pPr>
                <a:endParaRPr lang="sr-Latn-RS"/>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('Расх по функц. '!$A$11:$B$11,'Расх по функц. '!$A$21:$B$21,'Расх по функц. '!$A$38:$B$38,'Расх по функц. '!$A$45:$B$45,'Расх по функц. '!$A$85:$B$85,'Расх по функц. '!$A$92:$B$92,'Расх по функц. '!$A$99:$B$99,'Расх по функц. '!$A$117:$B$117,'Расх по функц. '!$A$124:$B$124)</c:f>
              <c:multiLvlStrCache>
                <c:ptCount val="9"/>
                <c:lvl>
                  <c:pt idx="0">
                    <c:v>СОЦИЈАЛНА ЗАШТИТА</c:v>
                  </c:pt>
                  <c:pt idx="1">
                    <c:v>ОПШТЕ ЈАВНЕ УСЛУГЕ</c:v>
                  </c:pt>
                  <c:pt idx="2">
                    <c:v>ЈАВНИ РЕД И БЕЗБЕДНОСТ</c:v>
                  </c:pt>
                  <c:pt idx="3">
                    <c:v>ЕКОНОМСКИ ПОСЛОВИ</c:v>
                  </c:pt>
                  <c:pt idx="4">
                    <c:v>ЗАШТИТА ЖИВОТНЕ СРЕДИНЕ</c:v>
                  </c:pt>
                  <c:pt idx="5">
                    <c:v>ПОСЛОВИ СТАНОВАЊА И ЗАЈЕДНИЦЕ</c:v>
                  </c:pt>
                  <c:pt idx="6">
                    <c:v>ЗДРАВСТВО</c:v>
                  </c:pt>
                  <c:pt idx="7">
                    <c:v>РЕКРЕАЦИЈА, СПОРТ, КУЛТУРА И ВЕРЕ</c:v>
                  </c:pt>
                  <c:pt idx="8">
                    <c:v>ОБРАЗОВАЊЕ</c:v>
                  </c:pt>
                </c:lvl>
                <c:lvl>
                  <c:pt idx="0">
                    <c:v>000</c:v>
                  </c:pt>
                  <c:pt idx="1">
                    <c:v>100</c:v>
                  </c:pt>
                  <c:pt idx="2">
                    <c:v>300</c:v>
                  </c:pt>
                  <c:pt idx="3">
                    <c:v>400</c:v>
                  </c:pt>
                  <c:pt idx="4">
                    <c:v>500</c:v>
                  </c:pt>
                  <c:pt idx="5">
                    <c:v>600</c:v>
                  </c:pt>
                  <c:pt idx="6">
                    <c:v>700</c:v>
                  </c:pt>
                  <c:pt idx="7">
                    <c:v>800</c:v>
                  </c:pt>
                  <c:pt idx="8">
                    <c:v>900</c:v>
                  </c:pt>
                </c:lvl>
              </c:multiLvlStrCache>
            </c:multiLvlStrRef>
          </c:cat>
          <c:val>
            <c:numRef>
              <c:f>('Расх по функц. '!$C$11,'Расх по функц. '!$C$21,'Расх по функц. '!$C$38,'Расх по функц. '!$C$45,'Расх по функц. '!$C$85,'Расх по функц. '!$C$92,'Расх по функц. '!$C$99,'Расх по функц. '!$C$117,'Расх по функц. '!$C$124)</c:f>
              <c:numCache>
                <c:formatCode>#,##0.00_ ;\-#,##0.00\ </c:formatCode>
                <c:ptCount val="9"/>
                <c:pt idx="0" formatCode="#,##0.00">
                  <c:v>17698000</c:v>
                </c:pt>
                <c:pt idx="1">
                  <c:v>138886774</c:v>
                </c:pt>
                <c:pt idx="2">
                  <c:v>600000</c:v>
                </c:pt>
                <c:pt idx="3">
                  <c:v>82662995.810000002</c:v>
                </c:pt>
                <c:pt idx="4">
                  <c:v>6857193</c:v>
                </c:pt>
                <c:pt idx="5" formatCode="#,##0.00">
                  <c:v>38214888</c:v>
                </c:pt>
                <c:pt idx="6" formatCode="#,##0.00">
                  <c:v>11450000</c:v>
                </c:pt>
                <c:pt idx="7" formatCode="#,##0.00">
                  <c:v>27549604</c:v>
                </c:pt>
                <c:pt idx="8" formatCode="#,##0.00">
                  <c:v>93940294</c:v>
                </c:pt>
              </c:numCache>
            </c:numRef>
          </c:val>
        </c:ser>
        <c:dLbls>
          <c:showLegendKey val="0"/>
          <c:showVal val="0"/>
          <c:showCatName val="1"/>
          <c:showSerName val="0"/>
          <c:showPercent val="0"/>
          <c:showBubbleSize val="0"/>
          <c:showLeaderLines val="1"/>
        </c:dLbls>
        <c:firstSliceAng val="0"/>
      </c:pieChart>
      <c:spPr>
        <a:noFill/>
        <a:ln>
          <a:noFill/>
        </a:ln>
        <a:effectLst/>
      </c:spPr>
    </c:plotArea>
    <c:legend>
      <c:legendPos val="b"/>
      <c:layout>
        <c:manualLayout>
          <c:xMode val="edge"/>
          <c:yMode val="edge"/>
          <c:x val="4.1906515468234956E-2"/>
          <c:y val="0.46994520997375488"/>
          <c:w val="0.77197531195973301"/>
          <c:h val="0.53005492825886935"/>
        </c:manualLayout>
      </c:layout>
      <c:overlay val="0"/>
      <c:spPr>
        <a:noFill/>
        <a:ln>
          <a:noFill/>
        </a:ln>
        <a:effectLst/>
      </c:spPr>
      <c:txPr>
        <a:bodyPr rot="0" spcFirstLastPara="1" vertOverflow="ellipsis" vert="horz" wrap="square" anchor="ctr" anchorCtr="1"/>
        <a:lstStyle/>
        <a:p>
          <a:pPr>
            <a:defRPr lang="sr-Latn-RS"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0</xdr:colOff>
      <xdr:row>80</xdr:row>
      <xdr:rowOff>123823</xdr:rowOff>
    </xdr:from>
    <xdr:to>
      <xdr:col>18</xdr:col>
      <xdr:colOff>377824</xdr:colOff>
      <xdr:row>122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257175</xdr:colOff>
      <xdr:row>731</xdr:row>
      <xdr:rowOff>66674</xdr:rowOff>
    </xdr:from>
    <xdr:to>
      <xdr:col>21</xdr:col>
      <xdr:colOff>152400</xdr:colOff>
      <xdr:row>800</xdr:row>
      <xdr:rowOff>57148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57150</xdr:colOff>
      <xdr:row>136</xdr:row>
      <xdr:rowOff>142875</xdr:rowOff>
    </xdr:from>
    <xdr:to>
      <xdr:col>30</xdr:col>
      <xdr:colOff>85725</xdr:colOff>
      <xdr:row>198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J40"/>
  <sheetViews>
    <sheetView zoomScaleNormal="100" workbookViewId="0">
      <selection activeCell="I10" sqref="I10"/>
    </sheetView>
  </sheetViews>
  <sheetFormatPr defaultRowHeight="15" x14ac:dyDescent="0.25"/>
  <cols>
    <col min="7" max="7" width="13.5703125" customWidth="1"/>
    <col min="8" max="8" width="26.85546875" customWidth="1"/>
    <col min="9" max="9" width="26" style="367" customWidth="1"/>
    <col min="10" max="10" width="18" hidden="1" customWidth="1"/>
  </cols>
  <sheetData>
    <row r="1" spans="1:9" x14ac:dyDescent="0.25">
      <c r="A1" s="1105"/>
      <c r="B1" s="1105"/>
      <c r="C1" s="1105"/>
      <c r="D1" s="1105"/>
      <c r="E1" s="1105"/>
      <c r="F1" s="1105"/>
      <c r="G1" s="1105"/>
      <c r="H1" s="1105"/>
      <c r="I1" s="1105"/>
    </row>
    <row r="3" spans="1:9" x14ac:dyDescent="0.25">
      <c r="A3" s="1091" t="s">
        <v>5503</v>
      </c>
      <c r="B3" s="1091"/>
      <c r="C3" s="1091"/>
      <c r="D3" s="1091"/>
      <c r="E3" s="1091"/>
      <c r="F3" s="1091"/>
      <c r="G3" s="1091"/>
      <c r="H3" s="1091"/>
      <c r="I3" s="1091"/>
    </row>
    <row r="4" spans="1:9" x14ac:dyDescent="0.25">
      <c r="A4" s="1091" t="s">
        <v>5542</v>
      </c>
      <c r="B4" s="1091"/>
      <c r="C4" s="1091"/>
      <c r="D4" s="1091"/>
      <c r="E4" s="1091"/>
      <c r="F4" s="1091"/>
      <c r="G4" s="1091"/>
      <c r="H4" s="1091"/>
      <c r="I4" s="1091"/>
    </row>
    <row r="5" spans="1:9" x14ac:dyDescent="0.25">
      <c r="A5" s="1091" t="s">
        <v>5543</v>
      </c>
      <c r="B5" s="1091"/>
      <c r="C5" s="1091"/>
      <c r="D5" s="1091"/>
      <c r="E5" s="1091"/>
      <c r="F5" s="1091"/>
      <c r="G5" s="1091"/>
      <c r="H5" s="1091"/>
      <c r="I5" s="1091"/>
    </row>
    <row r="6" spans="1:9" x14ac:dyDescent="0.25">
      <c r="A6" s="1091" t="s">
        <v>5544</v>
      </c>
      <c r="B6" s="1091"/>
      <c r="C6" s="1091"/>
      <c r="D6" s="1091"/>
      <c r="E6" s="1091"/>
      <c r="F6" s="1091"/>
      <c r="G6" s="1091"/>
      <c r="H6" s="1091"/>
      <c r="I6" s="1091"/>
    </row>
    <row r="7" spans="1:9" x14ac:dyDescent="0.25">
      <c r="A7" s="205"/>
      <c r="B7" s="205"/>
      <c r="C7" s="205"/>
      <c r="D7" s="205"/>
      <c r="E7" s="205"/>
      <c r="F7" s="205"/>
      <c r="G7" s="205"/>
      <c r="H7" s="205"/>
      <c r="I7" s="551"/>
    </row>
    <row r="8" spans="1:9" x14ac:dyDescent="0.25">
      <c r="A8" s="1093" t="s">
        <v>4870</v>
      </c>
      <c r="B8" s="1093"/>
      <c r="C8" s="1093"/>
      <c r="D8" s="1093"/>
      <c r="E8" s="1093"/>
      <c r="F8" s="1093"/>
      <c r="G8" s="1093"/>
      <c r="H8" s="1093"/>
      <c r="I8" s="1093"/>
    </row>
    <row r="9" spans="1:9" x14ac:dyDescent="0.25">
      <c r="A9" s="1093" t="s">
        <v>5540</v>
      </c>
      <c r="B9" s="1093"/>
      <c r="C9" s="1093"/>
      <c r="D9" s="1093"/>
      <c r="E9" s="1093"/>
      <c r="F9" s="1093"/>
      <c r="G9" s="1093"/>
      <c r="H9" s="1093"/>
      <c r="I9" s="1093"/>
    </row>
    <row r="10" spans="1:9" x14ac:dyDescent="0.25">
      <c r="A10" s="205"/>
      <c r="B10" s="205"/>
      <c r="C10" s="205"/>
      <c r="D10" s="205"/>
      <c r="E10" s="205"/>
      <c r="F10" s="205"/>
      <c r="G10" s="205"/>
      <c r="H10" s="205"/>
      <c r="I10" s="551"/>
    </row>
    <row r="11" spans="1:9" x14ac:dyDescent="0.25">
      <c r="A11" s="1092" t="s">
        <v>4871</v>
      </c>
      <c r="B11" s="1092"/>
      <c r="C11" s="1092"/>
      <c r="D11" s="1092"/>
      <c r="E11" s="1092"/>
      <c r="F11" s="1092"/>
      <c r="G11" s="1092"/>
      <c r="H11" s="1092"/>
      <c r="I11" s="1092"/>
    </row>
    <row r="12" spans="1:9" x14ac:dyDescent="0.25">
      <c r="A12" s="686"/>
      <c r="B12" s="686"/>
      <c r="C12" s="686"/>
      <c r="D12" s="686"/>
      <c r="E12" s="686"/>
      <c r="F12" s="686"/>
      <c r="G12" s="686"/>
      <c r="H12" s="686"/>
      <c r="I12" s="686"/>
    </row>
    <row r="13" spans="1:9" hidden="1" x14ac:dyDescent="0.25">
      <c r="A13" s="1091" t="s">
        <v>5439</v>
      </c>
      <c r="B13" s="1091"/>
      <c r="C13" s="1091"/>
      <c r="D13" s="1091"/>
      <c r="E13" s="1091"/>
      <c r="F13" s="1091"/>
      <c r="G13" s="1091"/>
      <c r="H13" s="1091"/>
      <c r="I13" s="1091"/>
    </row>
    <row r="14" spans="1:9" hidden="1" x14ac:dyDescent="0.25">
      <c r="A14" s="1091" t="s">
        <v>5031</v>
      </c>
      <c r="B14" s="1091"/>
      <c r="C14" s="1091"/>
      <c r="D14" s="1091"/>
      <c r="E14" s="1091"/>
      <c r="F14" s="1091"/>
      <c r="G14" s="1091"/>
      <c r="H14" s="1091"/>
      <c r="I14" s="1091"/>
    </row>
    <row r="15" spans="1:9" hidden="1" x14ac:dyDescent="0.25">
      <c r="A15" s="1091" t="s">
        <v>5032</v>
      </c>
      <c r="B15" s="1091"/>
      <c r="C15" s="1091"/>
      <c r="D15" s="1091"/>
      <c r="E15" s="1091"/>
      <c r="F15" s="1091"/>
      <c r="G15" s="1091"/>
      <c r="H15" s="1091"/>
      <c r="I15" s="1091"/>
    </row>
    <row r="16" spans="1:9" hidden="1" x14ac:dyDescent="0.25">
      <c r="A16" s="585"/>
      <c r="B16" s="585"/>
      <c r="C16" s="585"/>
      <c r="D16" s="585"/>
      <c r="E16" s="585"/>
      <c r="F16" s="585"/>
      <c r="G16" s="585"/>
      <c r="H16" s="585"/>
      <c r="I16" s="585"/>
    </row>
    <row r="17" spans="1:10" hidden="1" x14ac:dyDescent="0.25">
      <c r="A17" s="585"/>
      <c r="B17" s="585"/>
      <c r="C17" s="585"/>
      <c r="D17" s="585"/>
      <c r="E17" s="585"/>
      <c r="F17" s="585"/>
      <c r="G17" s="585"/>
      <c r="H17" s="585"/>
      <c r="I17" s="585"/>
    </row>
    <row r="18" spans="1:10" hidden="1" x14ac:dyDescent="0.25">
      <c r="A18" s="1092" t="s">
        <v>4872</v>
      </c>
      <c r="B18" s="1092"/>
      <c r="C18" s="1092"/>
      <c r="D18" s="1092"/>
      <c r="E18" s="1092"/>
      <c r="F18" s="1092"/>
      <c r="G18" s="1092"/>
      <c r="H18" s="1092"/>
      <c r="I18" s="1092"/>
    </row>
    <row r="19" spans="1:10" hidden="1" x14ac:dyDescent="0.25">
      <c r="A19" s="686"/>
      <c r="B19" s="686"/>
      <c r="C19" s="686"/>
      <c r="D19" s="686"/>
      <c r="E19" s="686"/>
      <c r="F19" s="686"/>
      <c r="G19" s="686"/>
      <c r="H19" s="686"/>
      <c r="I19" s="686"/>
    </row>
    <row r="20" spans="1:10" hidden="1" x14ac:dyDescent="0.25">
      <c r="A20" s="1092" t="s">
        <v>4873</v>
      </c>
      <c r="B20" s="1092"/>
      <c r="C20" s="1092"/>
      <c r="D20" s="1092"/>
      <c r="E20" s="1092"/>
      <c r="F20" s="1092"/>
      <c r="G20" s="1092"/>
      <c r="H20" s="1092"/>
      <c r="I20" s="1092"/>
    </row>
    <row r="21" spans="1:10" x14ac:dyDescent="0.25">
      <c r="A21" s="1091" t="s">
        <v>5502</v>
      </c>
      <c r="B21" s="1091"/>
      <c r="C21" s="1091"/>
      <c r="D21" s="1091"/>
      <c r="E21" s="1091"/>
      <c r="F21" s="1091"/>
      <c r="G21" s="1091"/>
      <c r="H21" s="1091"/>
      <c r="I21" s="1091"/>
    </row>
    <row r="22" spans="1:10" x14ac:dyDescent="0.25">
      <c r="A22" s="586"/>
      <c r="B22" s="586"/>
      <c r="C22" s="586"/>
      <c r="D22" s="586"/>
      <c r="E22" s="586"/>
      <c r="F22" s="586"/>
      <c r="G22" s="586"/>
      <c r="H22" s="586"/>
      <c r="I22" s="586"/>
    </row>
    <row r="23" spans="1:10" x14ac:dyDescent="0.25">
      <c r="A23" s="1091" t="s">
        <v>5501</v>
      </c>
      <c r="B23" s="1091"/>
      <c r="C23" s="1091"/>
      <c r="D23" s="1091"/>
      <c r="E23" s="1091"/>
      <c r="F23" s="1091"/>
      <c r="G23" s="1091"/>
      <c r="H23" s="1091"/>
      <c r="I23" s="1091"/>
    </row>
    <row r="25" spans="1:10" ht="31.5" x14ac:dyDescent="0.25">
      <c r="A25" s="166" t="s">
        <v>0</v>
      </c>
      <c r="B25" s="1102" t="s">
        <v>1</v>
      </c>
      <c r="C25" s="1102"/>
      <c r="D25" s="1102"/>
      <c r="E25" s="1102"/>
      <c r="F25" s="1102"/>
      <c r="G25" s="1102"/>
      <c r="H25" s="167" t="s">
        <v>2</v>
      </c>
      <c r="I25" s="361" t="s">
        <v>3</v>
      </c>
      <c r="J25" s="361" t="s">
        <v>5048</v>
      </c>
    </row>
    <row r="26" spans="1:10" ht="30" customHeight="1" x14ac:dyDescent="0.25">
      <c r="A26" s="2" t="s">
        <v>16</v>
      </c>
      <c r="B26" s="1103" t="s">
        <v>4</v>
      </c>
      <c r="C26" s="1103"/>
      <c r="D26" s="1103"/>
      <c r="E26" s="1103"/>
      <c r="F26" s="1103"/>
      <c r="G26" s="1103"/>
      <c r="H26" s="3" t="s">
        <v>5</v>
      </c>
      <c r="I26" s="362">
        <f>505296649.2+100000</f>
        <v>505396649.19999999</v>
      </c>
      <c r="J26" s="362">
        <v>188611924.21000001</v>
      </c>
    </row>
    <row r="27" spans="1:10" ht="30" customHeight="1" x14ac:dyDescent="0.25">
      <c r="A27" s="2" t="s">
        <v>17</v>
      </c>
      <c r="B27" s="1103" t="s">
        <v>6</v>
      </c>
      <c r="C27" s="1103"/>
      <c r="D27" s="1103"/>
      <c r="E27" s="1103"/>
      <c r="F27" s="1103"/>
      <c r="G27" s="1103"/>
      <c r="H27" s="3" t="s">
        <v>7</v>
      </c>
      <c r="I27" s="362">
        <f>520664949.49+100000</f>
        <v>520764949.49000001</v>
      </c>
      <c r="J27" s="362">
        <v>186943726.37999994</v>
      </c>
    </row>
    <row r="28" spans="1:10" ht="30" customHeight="1" x14ac:dyDescent="0.25">
      <c r="A28" s="1" t="s">
        <v>18</v>
      </c>
      <c r="B28" s="1101" t="s">
        <v>8</v>
      </c>
      <c r="C28" s="1101"/>
      <c r="D28" s="1101"/>
      <c r="E28" s="1101"/>
      <c r="F28" s="1101"/>
      <c r="G28" s="1101"/>
      <c r="H28" s="4" t="s">
        <v>9</v>
      </c>
      <c r="I28" s="363">
        <f>I26-I27</f>
        <v>-15368300.290000021</v>
      </c>
      <c r="J28" s="363">
        <f>J26-J27</f>
        <v>1668197.8300000727</v>
      </c>
    </row>
    <row r="29" spans="1:10" ht="30" customHeight="1" x14ac:dyDescent="0.25">
      <c r="A29" s="2" t="s">
        <v>19</v>
      </c>
      <c r="B29" s="1098" t="s">
        <v>4747</v>
      </c>
      <c r="C29" s="1099"/>
      <c r="D29" s="1099"/>
      <c r="E29" s="1099"/>
      <c r="F29" s="1099"/>
      <c r="G29" s="1100"/>
      <c r="H29" s="5">
        <v>62</v>
      </c>
      <c r="I29" s="364">
        <f>'По основ. нам.'!I87-'По основ. нам.'!I88</f>
        <v>0</v>
      </c>
      <c r="J29" s="364">
        <v>0</v>
      </c>
    </row>
    <row r="30" spans="1:10" ht="30" customHeight="1" x14ac:dyDescent="0.25">
      <c r="A30" s="1" t="s">
        <v>21</v>
      </c>
      <c r="B30" s="1101" t="s">
        <v>10</v>
      </c>
      <c r="C30" s="1101"/>
      <c r="D30" s="1101"/>
      <c r="E30" s="1101"/>
      <c r="F30" s="1101"/>
      <c r="G30" s="1101"/>
      <c r="H30" s="4" t="s">
        <v>4748</v>
      </c>
      <c r="I30" s="584">
        <f>I28+I29</f>
        <v>-15368300.290000021</v>
      </c>
      <c r="J30" s="363">
        <f>J28-J29</f>
        <v>1668197.8300000727</v>
      </c>
    </row>
    <row r="31" spans="1:10" ht="30" customHeight="1" x14ac:dyDescent="0.25">
      <c r="A31" s="166" t="s">
        <v>11</v>
      </c>
      <c r="B31" s="1104" t="s">
        <v>12</v>
      </c>
      <c r="C31" s="1104"/>
      <c r="D31" s="1104"/>
      <c r="E31" s="1104"/>
      <c r="F31" s="1104"/>
      <c r="G31" s="1104"/>
      <c r="H31" s="1104"/>
      <c r="I31" s="1104"/>
      <c r="J31" s="552"/>
    </row>
    <row r="32" spans="1:10" ht="30" customHeight="1" x14ac:dyDescent="0.25">
      <c r="A32" s="2" t="s">
        <v>16</v>
      </c>
      <c r="B32" s="1103" t="s">
        <v>13</v>
      </c>
      <c r="C32" s="1103"/>
      <c r="D32" s="1103"/>
      <c r="E32" s="1103"/>
      <c r="F32" s="1103"/>
      <c r="G32" s="1103"/>
      <c r="H32" s="3">
        <v>91</v>
      </c>
      <c r="I32" s="362">
        <v>17529792</v>
      </c>
      <c r="J32" s="362">
        <v>0</v>
      </c>
    </row>
    <row r="33" spans="1:10" ht="30" customHeight="1" x14ac:dyDescent="0.25">
      <c r="A33" s="2" t="s">
        <v>17</v>
      </c>
      <c r="B33" s="1103" t="s">
        <v>4750</v>
      </c>
      <c r="C33" s="1103"/>
      <c r="D33" s="1103"/>
      <c r="E33" s="1103"/>
      <c r="F33" s="1103"/>
      <c r="G33" s="1103"/>
      <c r="H33" s="3">
        <v>92</v>
      </c>
      <c r="I33" s="362">
        <f>'Оптшти део - (6)'!AA131</f>
        <v>0</v>
      </c>
      <c r="J33" s="362">
        <v>0</v>
      </c>
    </row>
    <row r="34" spans="1:10" ht="30" customHeight="1" x14ac:dyDescent="0.25">
      <c r="A34" s="189" t="s">
        <v>18</v>
      </c>
      <c r="B34" s="1095" t="s">
        <v>4740</v>
      </c>
      <c r="C34" s="1096"/>
      <c r="D34" s="1096"/>
      <c r="E34" s="1096"/>
      <c r="F34" s="1096"/>
      <c r="G34" s="1097"/>
      <c r="H34" s="190">
        <v>3</v>
      </c>
      <c r="I34" s="365">
        <v>1608508.29</v>
      </c>
      <c r="J34" s="365">
        <v>2228650</v>
      </c>
    </row>
    <row r="35" spans="1:10" ht="30" customHeight="1" x14ac:dyDescent="0.25">
      <c r="A35" s="2" t="s">
        <v>19</v>
      </c>
      <c r="B35" s="1103" t="s">
        <v>4751</v>
      </c>
      <c r="C35" s="1103"/>
      <c r="D35" s="1103"/>
      <c r="E35" s="1103"/>
      <c r="F35" s="1103"/>
      <c r="G35" s="1103"/>
      <c r="H35" s="3">
        <v>6211</v>
      </c>
      <c r="I35" s="362">
        <f>'По основ. нам.'!I88</f>
        <v>0</v>
      </c>
      <c r="J35" s="362">
        <v>0</v>
      </c>
    </row>
    <row r="36" spans="1:10" ht="30" customHeight="1" x14ac:dyDescent="0.25">
      <c r="A36" s="2" t="s">
        <v>20</v>
      </c>
      <c r="B36" s="1103" t="s">
        <v>14</v>
      </c>
      <c r="C36" s="1103"/>
      <c r="D36" s="1103"/>
      <c r="E36" s="1103"/>
      <c r="F36" s="1103"/>
      <c r="G36" s="1103"/>
      <c r="H36" s="3">
        <v>61</v>
      </c>
      <c r="I36" s="362">
        <v>3770000</v>
      </c>
      <c r="J36" s="362">
        <v>0</v>
      </c>
    </row>
    <row r="37" spans="1:10" ht="30" customHeight="1" x14ac:dyDescent="0.25">
      <c r="A37" s="166" t="s">
        <v>4742</v>
      </c>
      <c r="B37" s="1094" t="s">
        <v>15</v>
      </c>
      <c r="C37" s="1094"/>
      <c r="D37" s="1094"/>
      <c r="E37" s="1094"/>
      <c r="F37" s="1094"/>
      <c r="G37" s="1094"/>
      <c r="H37" s="191" t="s">
        <v>4741</v>
      </c>
      <c r="I37" s="366">
        <f>I32+I33+I34-I35-I36</f>
        <v>15368300.289999999</v>
      </c>
      <c r="J37" s="366">
        <f>J32+J33+J34-J35-J36</f>
        <v>2228650</v>
      </c>
    </row>
    <row r="39" spans="1:10" x14ac:dyDescent="0.25">
      <c r="I39" s="545"/>
      <c r="J39" s="432">
        <f>J30+J37</f>
        <v>3896847.8300000727</v>
      </c>
    </row>
    <row r="40" spans="1:10" x14ac:dyDescent="0.25">
      <c r="A40" s="1091" t="s">
        <v>5033</v>
      </c>
      <c r="B40" s="1091"/>
      <c r="C40" s="1091"/>
      <c r="D40" s="1091"/>
      <c r="E40" s="1091"/>
      <c r="F40" s="1091"/>
      <c r="G40" s="1091"/>
      <c r="H40" s="1091"/>
      <c r="I40" s="1091"/>
    </row>
  </sheetData>
  <mergeCells count="29">
    <mergeCell ref="B35:G35"/>
    <mergeCell ref="B36:G36"/>
    <mergeCell ref="A1:I1"/>
    <mergeCell ref="A11:I11"/>
    <mergeCell ref="A13:I13"/>
    <mergeCell ref="A18:I18"/>
    <mergeCell ref="A3:I3"/>
    <mergeCell ref="A4:I4"/>
    <mergeCell ref="A5:I5"/>
    <mergeCell ref="A6:I6"/>
    <mergeCell ref="A8:I8"/>
    <mergeCell ref="A14:I14"/>
    <mergeCell ref="A15:I15"/>
    <mergeCell ref="A40:I40"/>
    <mergeCell ref="A20:I20"/>
    <mergeCell ref="A21:I21"/>
    <mergeCell ref="A23:I23"/>
    <mergeCell ref="A9:I9"/>
    <mergeCell ref="B37:G37"/>
    <mergeCell ref="B34:G34"/>
    <mergeCell ref="B29:G29"/>
    <mergeCell ref="B30:G30"/>
    <mergeCell ref="B25:G25"/>
    <mergeCell ref="B26:G26"/>
    <mergeCell ref="B27:G27"/>
    <mergeCell ref="B28:G28"/>
    <mergeCell ref="B31:I31"/>
    <mergeCell ref="B32:G32"/>
    <mergeCell ref="B33:G33"/>
  </mergeCells>
  <conditionalFormatting sqref="J30">
    <cfRule type="cellIs" dxfId="9" priority="2" operator="lessThan">
      <formula>0</formula>
    </cfRule>
  </conditionalFormatting>
  <conditionalFormatting sqref="J28">
    <cfRule type="cellIs" dxfId="8" priority="1" operator="lessThan">
      <formula>0</formula>
    </cfRule>
  </conditionalFormatting>
  <printOptions horizontalCentered="1"/>
  <pageMargins left="0.118110236220472" right="0" top="0.196850393700787" bottom="0.196850393700787" header="0.31496062992126" footer="0.31496062992126"/>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K6" sqref="K6"/>
    </sheetView>
  </sheetViews>
  <sheetFormatPr defaultRowHeight="15" x14ac:dyDescent="0.25"/>
  <cols>
    <col min="1" max="1" width="11.7109375" bestFit="1" customWidth="1"/>
    <col min="2" max="3" width="14" style="683" customWidth="1"/>
    <col min="4" max="4" width="13.5703125" style="367" customWidth="1"/>
    <col min="5" max="5" width="15" style="367" customWidth="1"/>
    <col min="6" max="6" width="15.140625" style="367" customWidth="1"/>
    <col min="7" max="7" width="15.5703125" style="367" customWidth="1"/>
    <col min="8" max="8" width="15.42578125" style="367" customWidth="1"/>
    <col min="9" max="9" width="17" style="367" customWidth="1"/>
    <col min="10" max="10" width="10.140625" style="367" bestFit="1" customWidth="1"/>
    <col min="11" max="11" width="12.5703125" style="367" customWidth="1"/>
    <col min="12" max="12" width="9.140625" style="367"/>
  </cols>
  <sheetData>
    <row r="1" spans="1:11" x14ac:dyDescent="0.25">
      <c r="A1" s="367">
        <v>199998</v>
      </c>
      <c r="D1" s="367">
        <v>2729699</v>
      </c>
      <c r="E1" s="367">
        <v>2839075</v>
      </c>
      <c r="F1" s="367">
        <v>41426453</v>
      </c>
      <c r="G1" s="367">
        <v>7086554</v>
      </c>
      <c r="H1" s="367">
        <v>25330665</v>
      </c>
      <c r="I1" s="367">
        <v>1840992</v>
      </c>
    </row>
    <row r="2" spans="1:11" x14ac:dyDescent="0.25">
      <c r="A2" s="367">
        <v>569947</v>
      </c>
      <c r="D2" s="367">
        <v>468145</v>
      </c>
      <c r="E2" s="367">
        <v>487116</v>
      </c>
      <c r="F2" s="367">
        <v>7113764</v>
      </c>
      <c r="G2" s="367">
        <v>1269136</v>
      </c>
      <c r="H2" s="367">
        <v>4534189</v>
      </c>
      <c r="I2" s="367">
        <v>327944</v>
      </c>
    </row>
    <row r="3" spans="1:11" x14ac:dyDescent="0.25">
      <c r="A3" s="367">
        <v>44300</v>
      </c>
      <c r="H3" s="367">
        <v>0.02</v>
      </c>
    </row>
    <row r="4" spans="1:11" x14ac:dyDescent="0.25">
      <c r="A4" s="367"/>
      <c r="H4" s="367">
        <f>15/24</f>
        <v>0.625</v>
      </c>
    </row>
    <row r="5" spans="1:11" x14ac:dyDescent="0.25">
      <c r="A5" s="367"/>
    </row>
    <row r="6" spans="1:11" x14ac:dyDescent="0.25">
      <c r="A6" s="367"/>
    </row>
    <row r="7" spans="1:11" x14ac:dyDescent="0.25">
      <c r="A7" s="367"/>
    </row>
    <row r="8" spans="1:11" x14ac:dyDescent="0.25">
      <c r="A8" s="367"/>
    </row>
    <row r="9" spans="1:11" x14ac:dyDescent="0.25">
      <c r="A9" s="367"/>
    </row>
    <row r="10" spans="1:11" x14ac:dyDescent="0.25">
      <c r="A10" s="367"/>
      <c r="D10" s="367">
        <f>4/24</f>
        <v>0.16666666666666666</v>
      </c>
      <c r="E10" s="367">
        <v>0.16666666666666666</v>
      </c>
      <c r="F10" s="367">
        <v>0.16666666666666666</v>
      </c>
      <c r="G10" s="367">
        <v>0.16666666666666666</v>
      </c>
      <c r="I10" s="367">
        <v>0.16666666666666666</v>
      </c>
    </row>
    <row r="11" spans="1:11" x14ac:dyDescent="0.25">
      <c r="A11" s="367">
        <v>411068</v>
      </c>
      <c r="D11" s="683">
        <f>D1*D10</f>
        <v>454949.83333333331</v>
      </c>
      <c r="E11" s="683">
        <f>E1*E10</f>
        <v>473179.16666666663</v>
      </c>
      <c r="F11" s="367">
        <f>F1*F10</f>
        <v>6904408.833333333</v>
      </c>
      <c r="G11" s="367">
        <f>G1*G10</f>
        <v>1181092.3333333333</v>
      </c>
      <c r="I11" s="367">
        <f>I1*I10</f>
        <v>306832</v>
      </c>
    </row>
    <row r="12" spans="1:11" x14ac:dyDescent="0.25">
      <c r="A12" s="367">
        <v>77137</v>
      </c>
      <c r="D12" s="683">
        <f>D2*D10</f>
        <v>78024.166666666657</v>
      </c>
      <c r="E12" s="683">
        <f>E2*E10</f>
        <v>81186</v>
      </c>
      <c r="F12" s="367">
        <f>F2*F10</f>
        <v>1185627.3333333333</v>
      </c>
      <c r="G12" s="367">
        <f>G2*G10</f>
        <v>211522.66666666666</v>
      </c>
      <c r="I12" s="367">
        <f>I2*I10</f>
        <v>54657.333333333328</v>
      </c>
    </row>
    <row r="13" spans="1:11" x14ac:dyDescent="0.25">
      <c r="A13" s="545">
        <f>SUM(A1:A12)</f>
        <v>1302450</v>
      </c>
      <c r="B13" s="683" t="s">
        <v>5478</v>
      </c>
      <c r="D13" s="367">
        <v>0.08</v>
      </c>
      <c r="E13" s="367">
        <v>0.08</v>
      </c>
      <c r="F13" s="367">
        <v>0.08</v>
      </c>
      <c r="G13" s="367">
        <v>0.1</v>
      </c>
      <c r="I13" s="367">
        <v>0.08</v>
      </c>
    </row>
    <row r="14" spans="1:11" x14ac:dyDescent="0.25">
      <c r="D14" s="1090">
        <f>D11*D13</f>
        <v>36395.986666666664</v>
      </c>
      <c r="E14" s="1090">
        <f>E11*E13</f>
        <v>37854.333333333328</v>
      </c>
      <c r="F14" s="1090">
        <f>F11*F13</f>
        <v>552352.70666666667</v>
      </c>
      <c r="G14" s="1090">
        <f>G11*G13</f>
        <v>118109.23333333334</v>
      </c>
      <c r="I14" s="1090">
        <f>I11*I13</f>
        <v>24546.560000000001</v>
      </c>
      <c r="J14" s="545">
        <f>SUM(D14:I14)</f>
        <v>769258.82000000007</v>
      </c>
      <c r="K14" s="545">
        <f>SUM(J14:J15)</f>
        <v>902370.67333333334</v>
      </c>
    </row>
    <row r="15" spans="1:11" x14ac:dyDescent="0.25">
      <c r="A15" s="545">
        <f>A13/0.2</f>
        <v>6512250</v>
      </c>
      <c r="B15" s="683" t="s">
        <v>5477</v>
      </c>
      <c r="D15" s="1090">
        <f>D12*D13</f>
        <v>6241.9333333333325</v>
      </c>
      <c r="E15" s="1090">
        <f>E12*E13</f>
        <v>6494.88</v>
      </c>
      <c r="F15" s="1090">
        <f>F12*F13</f>
        <v>94850.186666666661</v>
      </c>
      <c r="G15" s="1090">
        <f>G12*G13</f>
        <v>21152.266666666666</v>
      </c>
      <c r="I15" s="1090">
        <f>I12*I13</f>
        <v>4372.5866666666661</v>
      </c>
      <c r="J15" s="545">
        <f>SUM(D15:I15)</f>
        <v>133111.85333333333</v>
      </c>
      <c r="K15" s="545"/>
    </row>
    <row r="17" spans="4:9" x14ac:dyDescent="0.25">
      <c r="D17" s="545">
        <f t="shared" ref="D17:G18" si="0">D1+D14</f>
        <v>2766094.9866666668</v>
      </c>
      <c r="E17" s="545">
        <f t="shared" si="0"/>
        <v>2876929.3333333335</v>
      </c>
      <c r="F17" s="545">
        <f t="shared" si="0"/>
        <v>41978805.706666663</v>
      </c>
      <c r="G17" s="545">
        <f t="shared" si="0"/>
        <v>7204663.2333333334</v>
      </c>
      <c r="H17" s="545"/>
      <c r="I17" s="545">
        <f>I1+I14</f>
        <v>1865538.5600000001</v>
      </c>
    </row>
    <row r="18" spans="4:9" x14ac:dyDescent="0.25">
      <c r="D18" s="545">
        <f t="shared" si="0"/>
        <v>474386.93333333335</v>
      </c>
      <c r="E18" s="545">
        <f t="shared" si="0"/>
        <v>493610.88</v>
      </c>
      <c r="F18" s="545">
        <f t="shared" si="0"/>
        <v>7208614.1866666665</v>
      </c>
      <c r="G18" s="545">
        <f t="shared" si="0"/>
        <v>1290288.2666666666</v>
      </c>
      <c r="H18" s="545"/>
      <c r="I18" s="545">
        <f>I2+I15</f>
        <v>332316.58666666667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M24" sqref="M2:M24"/>
    </sheetView>
  </sheetViews>
  <sheetFormatPr defaultRowHeight="15" x14ac:dyDescent="0.25"/>
  <sheetData>
    <row r="1" spans="1:13" ht="111" x14ac:dyDescent="0.25">
      <c r="A1" s="587" t="s">
        <v>4876</v>
      </c>
      <c r="B1" s="1193" t="s">
        <v>4877</v>
      </c>
      <c r="C1" s="1193"/>
      <c r="D1" s="1193"/>
      <c r="E1" s="587" t="s">
        <v>4878</v>
      </c>
      <c r="F1" s="587" t="s">
        <v>4879</v>
      </c>
      <c r="G1" s="587" t="s">
        <v>4880</v>
      </c>
      <c r="H1" s="587">
        <v>2018</v>
      </c>
      <c r="I1" s="614">
        <v>1</v>
      </c>
      <c r="J1" s="614">
        <v>4</v>
      </c>
      <c r="K1" s="613">
        <v>7</v>
      </c>
      <c r="L1" s="613">
        <v>10</v>
      </c>
      <c r="M1" s="613">
        <v>13</v>
      </c>
    </row>
    <row r="2" spans="1:13" x14ac:dyDescent="0.25">
      <c r="A2" s="593">
        <v>3</v>
      </c>
      <c r="B2" s="1199" t="s">
        <v>4772</v>
      </c>
      <c r="C2" s="1200"/>
      <c r="D2" s="1201"/>
      <c r="E2" s="593">
        <v>2018</v>
      </c>
      <c r="F2" s="593">
        <v>2020</v>
      </c>
      <c r="G2" s="594">
        <v>5200</v>
      </c>
      <c r="H2" s="594">
        <v>5200</v>
      </c>
      <c r="I2" s="594">
        <v>200</v>
      </c>
      <c r="J2" s="594"/>
      <c r="K2" s="615"/>
      <c r="L2" s="615">
        <v>5000</v>
      </c>
      <c r="M2" s="615"/>
    </row>
    <row r="3" spans="1:13" x14ac:dyDescent="0.25">
      <c r="A3" s="589">
        <v>4</v>
      </c>
      <c r="B3" s="1202" t="s">
        <v>5289</v>
      </c>
      <c r="C3" s="1202"/>
      <c r="D3" s="1202"/>
      <c r="E3" s="589">
        <v>2018</v>
      </c>
      <c r="F3" s="589">
        <v>2018</v>
      </c>
      <c r="G3" s="590">
        <v>18500</v>
      </c>
      <c r="H3" s="592">
        <v>18500</v>
      </c>
      <c r="I3" s="592"/>
      <c r="J3" s="592"/>
      <c r="K3" s="615">
        <v>7500</v>
      </c>
      <c r="L3" s="615">
        <v>10800</v>
      </c>
      <c r="M3" s="615">
        <v>200</v>
      </c>
    </row>
    <row r="4" spans="1:13" x14ac:dyDescent="0.25">
      <c r="A4" s="589">
        <v>5</v>
      </c>
      <c r="B4" s="1203" t="s">
        <v>5147</v>
      </c>
      <c r="C4" s="1204"/>
      <c r="D4" s="1205"/>
      <c r="E4" s="589">
        <v>2018</v>
      </c>
      <c r="F4" s="589">
        <v>2018</v>
      </c>
      <c r="G4" s="590">
        <v>10000</v>
      </c>
      <c r="H4" s="592">
        <v>10000</v>
      </c>
      <c r="I4" s="592">
        <v>5000</v>
      </c>
      <c r="J4" s="592"/>
      <c r="K4" s="615">
        <v>5000</v>
      </c>
      <c r="L4" s="615"/>
      <c r="M4" s="615"/>
    </row>
    <row r="5" spans="1:13" x14ac:dyDescent="0.25">
      <c r="A5" s="589">
        <v>6</v>
      </c>
      <c r="B5" s="1203" t="s">
        <v>5188</v>
      </c>
      <c r="C5" s="1204"/>
      <c r="D5" s="1205"/>
      <c r="E5" s="589">
        <v>2018</v>
      </c>
      <c r="F5" s="589">
        <v>2018</v>
      </c>
      <c r="G5" s="590">
        <v>2000</v>
      </c>
      <c r="H5" s="592">
        <v>2000</v>
      </c>
      <c r="I5" s="592">
        <v>2000</v>
      </c>
      <c r="J5" s="592"/>
      <c r="K5" s="615"/>
      <c r="L5" s="615"/>
      <c r="M5" s="615"/>
    </row>
    <row r="6" spans="1:13" x14ac:dyDescent="0.25">
      <c r="A6" s="589">
        <v>7</v>
      </c>
      <c r="B6" s="1203" t="s">
        <v>5290</v>
      </c>
      <c r="C6" s="1204"/>
      <c r="D6" s="1205"/>
      <c r="E6" s="589">
        <v>2018</v>
      </c>
      <c r="F6" s="589">
        <v>2018</v>
      </c>
      <c r="G6" s="590">
        <v>2000</v>
      </c>
      <c r="H6" s="592">
        <v>2000</v>
      </c>
      <c r="I6" s="592">
        <v>2000</v>
      </c>
      <c r="J6" s="592"/>
      <c r="K6" s="615"/>
      <c r="L6" s="615"/>
      <c r="M6" s="615"/>
    </row>
    <row r="7" spans="1:13" x14ac:dyDescent="0.25">
      <c r="A7" s="589">
        <v>8</v>
      </c>
      <c r="B7" s="1203" t="s">
        <v>5291</v>
      </c>
      <c r="C7" s="1204"/>
      <c r="D7" s="1205"/>
      <c r="E7" s="589">
        <v>2018</v>
      </c>
      <c r="F7" s="589">
        <v>2018</v>
      </c>
      <c r="G7" s="590">
        <v>2300</v>
      </c>
      <c r="H7" s="592">
        <v>2300</v>
      </c>
      <c r="I7" s="592">
        <v>2300</v>
      </c>
      <c r="J7" s="592"/>
      <c r="K7" s="615"/>
      <c r="L7" s="615"/>
      <c r="M7" s="615"/>
    </row>
    <row r="8" spans="1:13" x14ac:dyDescent="0.25">
      <c r="A8" s="589">
        <v>9</v>
      </c>
      <c r="B8" s="1203" t="s">
        <v>5110</v>
      </c>
      <c r="C8" s="1204"/>
      <c r="D8" s="1205"/>
      <c r="E8" s="589">
        <v>2018</v>
      </c>
      <c r="F8" s="589">
        <v>2018</v>
      </c>
      <c r="G8" s="590">
        <v>3000</v>
      </c>
      <c r="H8" s="592">
        <v>3000</v>
      </c>
      <c r="I8" s="592">
        <v>3000</v>
      </c>
      <c r="J8" s="592"/>
      <c r="K8" s="615"/>
      <c r="L8" s="615"/>
      <c r="M8" s="615"/>
    </row>
    <row r="9" spans="1:13" x14ac:dyDescent="0.25">
      <c r="A9" s="589">
        <v>10</v>
      </c>
      <c r="B9" s="1203" t="s">
        <v>5292</v>
      </c>
      <c r="C9" s="1204"/>
      <c r="D9" s="1205"/>
      <c r="E9" s="589">
        <v>2018</v>
      </c>
      <c r="F9" s="589">
        <v>2018</v>
      </c>
      <c r="G9" s="590">
        <v>10000</v>
      </c>
      <c r="H9" s="592">
        <v>10000</v>
      </c>
      <c r="I9" s="592"/>
      <c r="J9" s="592"/>
      <c r="K9" s="615"/>
      <c r="L9" s="615">
        <v>10000</v>
      </c>
      <c r="M9" s="615"/>
    </row>
    <row r="10" spans="1:13" x14ac:dyDescent="0.25">
      <c r="A10" s="589">
        <v>11</v>
      </c>
      <c r="B10" s="1202" t="s">
        <v>5293</v>
      </c>
      <c r="C10" s="1202"/>
      <c r="D10" s="1202"/>
      <c r="E10" s="589">
        <v>2018</v>
      </c>
      <c r="F10" s="589">
        <v>2018</v>
      </c>
      <c r="G10" s="590">
        <v>1950</v>
      </c>
      <c r="H10" s="591">
        <v>1950</v>
      </c>
      <c r="I10" s="591">
        <v>1950</v>
      </c>
      <c r="J10" s="591" t="s">
        <v>4881</v>
      </c>
      <c r="K10" s="615"/>
      <c r="L10" s="615"/>
      <c r="M10" s="615"/>
    </row>
    <row r="11" spans="1:13" x14ac:dyDescent="0.25">
      <c r="A11" s="589">
        <v>12</v>
      </c>
      <c r="B11" s="1206" t="s">
        <v>5294</v>
      </c>
      <c r="C11" s="1207"/>
      <c r="D11" s="1208"/>
      <c r="E11" s="589">
        <v>2018</v>
      </c>
      <c r="F11" s="589">
        <v>2018</v>
      </c>
      <c r="G11" s="590">
        <v>15982</v>
      </c>
      <c r="H11" s="592">
        <v>15982</v>
      </c>
      <c r="I11" s="592"/>
      <c r="J11" s="592"/>
      <c r="K11" s="615">
        <v>6550</v>
      </c>
      <c r="L11" s="615">
        <v>9432</v>
      </c>
      <c r="M11" s="615"/>
    </row>
    <row r="12" spans="1:13" x14ac:dyDescent="0.25">
      <c r="A12" s="589">
        <v>13</v>
      </c>
      <c r="B12" s="1209" t="s">
        <v>5299</v>
      </c>
      <c r="C12" s="1210"/>
      <c r="D12" s="1211"/>
      <c r="E12" s="589">
        <v>2018</v>
      </c>
      <c r="F12" s="589">
        <v>2018</v>
      </c>
      <c r="G12" s="611">
        <v>3500</v>
      </c>
      <c r="H12" s="592">
        <v>3500</v>
      </c>
      <c r="I12" s="592">
        <v>3500</v>
      </c>
      <c r="J12" s="592"/>
      <c r="K12" s="615"/>
      <c r="L12" s="615"/>
      <c r="M12" s="615"/>
    </row>
    <row r="13" spans="1:13" x14ac:dyDescent="0.25">
      <c r="A13" s="589">
        <v>14</v>
      </c>
      <c r="B13" s="1206" t="s">
        <v>5138</v>
      </c>
      <c r="C13" s="1207"/>
      <c r="D13" s="1208"/>
      <c r="E13" s="589">
        <v>2018</v>
      </c>
      <c r="F13" s="589">
        <v>2018</v>
      </c>
      <c r="G13" s="590">
        <v>1000</v>
      </c>
      <c r="H13" s="592">
        <v>1000</v>
      </c>
      <c r="I13" s="592">
        <v>1000</v>
      </c>
      <c r="J13" s="592"/>
      <c r="K13" s="615"/>
      <c r="L13" s="615"/>
      <c r="M13" s="615"/>
    </row>
    <row r="14" spans="1:13" x14ac:dyDescent="0.25">
      <c r="A14" s="589">
        <v>15</v>
      </c>
      <c r="B14" s="1203" t="s">
        <v>5295</v>
      </c>
      <c r="C14" s="1204"/>
      <c r="D14" s="1205"/>
      <c r="E14" s="589">
        <v>2018</v>
      </c>
      <c r="F14" s="589">
        <v>2018</v>
      </c>
      <c r="G14" s="590">
        <v>9000</v>
      </c>
      <c r="H14" s="592">
        <v>9000</v>
      </c>
      <c r="I14" s="592">
        <v>9000</v>
      </c>
      <c r="J14" s="592"/>
      <c r="K14" s="615"/>
      <c r="L14" s="615"/>
      <c r="M14" s="615"/>
    </row>
    <row r="15" spans="1:13" x14ac:dyDescent="0.25">
      <c r="A15" s="589">
        <v>16</v>
      </c>
      <c r="B15" s="1209" t="s">
        <v>5296</v>
      </c>
      <c r="C15" s="1210"/>
      <c r="D15" s="1211"/>
      <c r="E15" s="589">
        <v>2018</v>
      </c>
      <c r="F15" s="589">
        <v>2018</v>
      </c>
      <c r="G15" s="611">
        <v>3000</v>
      </c>
      <c r="H15" s="592">
        <v>3000</v>
      </c>
      <c r="I15" s="592">
        <v>3000</v>
      </c>
      <c r="J15" s="592"/>
      <c r="K15" s="615"/>
      <c r="L15" s="615"/>
      <c r="M15" s="615"/>
    </row>
    <row r="16" spans="1:13" x14ac:dyDescent="0.25">
      <c r="A16" s="589">
        <v>17</v>
      </c>
      <c r="B16" s="1203" t="s">
        <v>5297</v>
      </c>
      <c r="C16" s="1204"/>
      <c r="D16" s="1205"/>
      <c r="E16" s="589">
        <v>2018</v>
      </c>
      <c r="F16" s="589">
        <v>2018</v>
      </c>
      <c r="G16" s="590">
        <v>5000</v>
      </c>
      <c r="H16" s="592">
        <v>5000</v>
      </c>
      <c r="I16" s="592">
        <v>1000</v>
      </c>
      <c r="J16" s="592"/>
      <c r="K16" s="615"/>
      <c r="L16" s="615">
        <v>4000</v>
      </c>
      <c r="M16" s="615"/>
    </row>
    <row r="17" spans="1:13" x14ac:dyDescent="0.25">
      <c r="A17" s="589">
        <v>18</v>
      </c>
      <c r="B17" s="1209" t="s">
        <v>5298</v>
      </c>
      <c r="C17" s="1210"/>
      <c r="D17" s="1211"/>
      <c r="E17" s="589">
        <v>2018</v>
      </c>
      <c r="F17" s="589">
        <v>2018</v>
      </c>
      <c r="G17" s="611">
        <v>550</v>
      </c>
      <c r="H17" s="592">
        <v>550</v>
      </c>
      <c r="I17" s="592">
        <v>500</v>
      </c>
      <c r="J17" s="592">
        <v>50</v>
      </c>
      <c r="K17" s="615"/>
      <c r="L17" s="615"/>
      <c r="M17" s="615"/>
    </row>
    <row r="18" spans="1:13" x14ac:dyDescent="0.25">
      <c r="A18" s="589">
        <v>19</v>
      </c>
      <c r="B18" s="1209" t="s">
        <v>5300</v>
      </c>
      <c r="C18" s="1210"/>
      <c r="D18" s="1211"/>
      <c r="E18" s="589">
        <v>2018</v>
      </c>
      <c r="F18" s="589">
        <v>2018</v>
      </c>
      <c r="G18" s="611">
        <v>550</v>
      </c>
      <c r="H18" s="592">
        <v>550</v>
      </c>
      <c r="I18" s="592">
        <v>450</v>
      </c>
      <c r="J18" s="592">
        <v>100</v>
      </c>
      <c r="K18" s="615"/>
      <c r="L18" s="615"/>
      <c r="M18" s="615"/>
    </row>
    <row r="19" spans="1:13" x14ac:dyDescent="0.25">
      <c r="A19" s="589">
        <v>20</v>
      </c>
      <c r="B19" s="1209" t="s">
        <v>5301</v>
      </c>
      <c r="C19" s="1210"/>
      <c r="D19" s="1211"/>
      <c r="E19" s="589">
        <v>2018</v>
      </c>
      <c r="F19" s="589">
        <v>2018</v>
      </c>
      <c r="G19" s="611">
        <v>50</v>
      </c>
      <c r="H19" s="592">
        <v>50</v>
      </c>
      <c r="I19" s="592"/>
      <c r="J19" s="592"/>
      <c r="K19" s="615">
        <v>50</v>
      </c>
      <c r="L19" s="615"/>
      <c r="M19" s="615"/>
    </row>
    <row r="20" spans="1:13" x14ac:dyDescent="0.25">
      <c r="A20" s="589">
        <v>21</v>
      </c>
      <c r="B20" s="1209" t="s">
        <v>5302</v>
      </c>
      <c r="C20" s="1210"/>
      <c r="D20" s="1211"/>
      <c r="E20" s="589">
        <v>2018</v>
      </c>
      <c r="F20" s="589">
        <v>2018</v>
      </c>
      <c r="G20" s="611">
        <v>245</v>
      </c>
      <c r="H20" s="592">
        <v>245</v>
      </c>
      <c r="I20" s="592">
        <v>245</v>
      </c>
      <c r="J20" s="592"/>
      <c r="K20" s="615"/>
      <c r="L20" s="615"/>
      <c r="M20" s="615"/>
    </row>
    <row r="21" spans="1:13" x14ac:dyDescent="0.25">
      <c r="A21" s="589">
        <v>22</v>
      </c>
      <c r="B21" s="1209" t="s">
        <v>5303</v>
      </c>
      <c r="C21" s="1210"/>
      <c r="D21" s="1211"/>
      <c r="E21" s="589">
        <v>2018</v>
      </c>
      <c r="F21" s="589">
        <v>2018</v>
      </c>
      <c r="G21" s="611">
        <v>250</v>
      </c>
      <c r="H21" s="592">
        <v>250</v>
      </c>
      <c r="I21" s="592">
        <v>250</v>
      </c>
      <c r="J21" s="592"/>
      <c r="K21" s="615"/>
      <c r="L21" s="615"/>
      <c r="M21" s="615"/>
    </row>
    <row r="22" spans="1:13" x14ac:dyDescent="0.25">
      <c r="A22" s="589">
        <v>23</v>
      </c>
      <c r="B22" s="1209" t="s">
        <v>5304</v>
      </c>
      <c r="C22" s="1210"/>
      <c r="D22" s="1211"/>
      <c r="E22" s="589">
        <v>2018</v>
      </c>
      <c r="F22" s="589">
        <v>2018</v>
      </c>
      <c r="G22" s="611">
        <v>2035</v>
      </c>
      <c r="H22" s="592">
        <v>2035</v>
      </c>
      <c r="I22" s="592">
        <v>2035</v>
      </c>
      <c r="J22" s="592"/>
      <c r="K22" s="615"/>
      <c r="L22" s="615"/>
      <c r="M22" s="615"/>
    </row>
    <row r="23" spans="1:13" x14ac:dyDescent="0.25">
      <c r="A23" s="589">
        <v>24</v>
      </c>
      <c r="B23" s="1209" t="s">
        <v>5305</v>
      </c>
      <c r="C23" s="1210"/>
      <c r="D23" s="1211"/>
      <c r="E23" s="589">
        <v>2018</v>
      </c>
      <c r="F23" s="589">
        <v>2018</v>
      </c>
      <c r="G23" s="611">
        <v>150</v>
      </c>
      <c r="H23" s="592">
        <v>150</v>
      </c>
      <c r="I23" s="592">
        <v>150</v>
      </c>
      <c r="J23" s="592"/>
      <c r="K23" s="615"/>
      <c r="L23" s="615"/>
      <c r="M23" s="615"/>
    </row>
    <row r="24" spans="1:13" x14ac:dyDescent="0.25">
      <c r="A24" s="588">
        <v>25</v>
      </c>
      <c r="B24" s="1209" t="s">
        <v>5306</v>
      </c>
      <c r="C24" s="1210"/>
      <c r="D24" s="1211"/>
      <c r="E24" s="589">
        <v>2018</v>
      </c>
      <c r="F24" s="589">
        <v>2018</v>
      </c>
      <c r="G24" s="611">
        <v>3500</v>
      </c>
      <c r="H24" s="592">
        <v>3500</v>
      </c>
      <c r="I24" s="592">
        <v>3500</v>
      </c>
      <c r="J24" s="592"/>
      <c r="K24" s="615"/>
      <c r="L24" s="615"/>
      <c r="M24" s="615"/>
    </row>
    <row r="25" spans="1:13" x14ac:dyDescent="0.25">
      <c r="A25" s="1212" t="s">
        <v>4882</v>
      </c>
      <c r="B25" s="1212"/>
      <c r="C25" s="1212"/>
      <c r="D25" s="1212"/>
      <c r="E25" s="1212"/>
      <c r="F25" s="1212"/>
      <c r="G25" s="590">
        <f t="shared" ref="G25:M25" si="0">SUM(G2:G24)</f>
        <v>99762</v>
      </c>
      <c r="H25" s="590">
        <f t="shared" si="0"/>
        <v>99762</v>
      </c>
      <c r="I25" s="590">
        <f t="shared" si="0"/>
        <v>41080</v>
      </c>
      <c r="J25" s="590">
        <f t="shared" si="0"/>
        <v>150</v>
      </c>
      <c r="K25" s="615">
        <f t="shared" si="0"/>
        <v>19100</v>
      </c>
      <c r="L25" s="615">
        <f t="shared" si="0"/>
        <v>39232</v>
      </c>
      <c r="M25" s="615">
        <f t="shared" si="0"/>
        <v>200</v>
      </c>
    </row>
  </sheetData>
  <mergeCells count="25">
    <mergeCell ref="B23:D23"/>
    <mergeCell ref="B24:D24"/>
    <mergeCell ref="A25:F25"/>
    <mergeCell ref="B17:D17"/>
    <mergeCell ref="B18:D18"/>
    <mergeCell ref="B19:D19"/>
    <mergeCell ref="B20:D20"/>
    <mergeCell ref="B21:D21"/>
    <mergeCell ref="B22:D22"/>
    <mergeCell ref="B16:D16"/>
    <mergeCell ref="B6:D6"/>
    <mergeCell ref="B7:D7"/>
    <mergeCell ref="B8:D8"/>
    <mergeCell ref="B9:D9"/>
    <mergeCell ref="B10:D10"/>
    <mergeCell ref="B11:D11"/>
    <mergeCell ref="B12:D12"/>
    <mergeCell ref="B13:D13"/>
    <mergeCell ref="B14:D14"/>
    <mergeCell ref="B15:D15"/>
    <mergeCell ref="B2:D2"/>
    <mergeCell ref="B3:D3"/>
    <mergeCell ref="B4:D4"/>
    <mergeCell ref="B5:D5"/>
    <mergeCell ref="B1:D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M12" sqref="M12"/>
    </sheetView>
  </sheetViews>
  <sheetFormatPr defaultRowHeight="15" x14ac:dyDescent="0.25"/>
  <cols>
    <col min="2" max="2" width="31.140625" customWidth="1"/>
    <col min="3" max="3" width="15" style="367" customWidth="1"/>
    <col min="4" max="4" width="13.42578125" style="367" customWidth="1"/>
    <col min="5" max="5" width="16.28515625" style="367" customWidth="1"/>
    <col min="6" max="6" width="15" customWidth="1"/>
    <col min="7" max="7" width="15.28515625" customWidth="1"/>
    <col min="8" max="8" width="16.140625" customWidth="1"/>
    <col min="9" max="9" width="13.140625" customWidth="1"/>
    <col min="10" max="10" width="14" customWidth="1"/>
    <col min="11" max="11" width="12.42578125" customWidth="1"/>
  </cols>
  <sheetData>
    <row r="1" spans="1:11" x14ac:dyDescent="0.25">
      <c r="A1" s="1213" t="s">
        <v>5384</v>
      </c>
      <c r="B1" s="1213"/>
      <c r="C1" s="1213"/>
      <c r="D1" s="1213"/>
      <c r="E1" s="1213"/>
      <c r="F1" s="1213"/>
      <c r="G1" s="1213"/>
      <c r="H1" s="1213"/>
      <c r="I1" s="1213"/>
      <c r="J1" s="1213"/>
      <c r="K1" s="1213"/>
    </row>
    <row r="2" spans="1:11" ht="30" x14ac:dyDescent="0.25">
      <c r="C2" s="673" t="s">
        <v>5375</v>
      </c>
      <c r="D2" s="674" t="s">
        <v>5376</v>
      </c>
      <c r="E2" s="674" t="s">
        <v>4041</v>
      </c>
      <c r="F2" s="673" t="s">
        <v>5379</v>
      </c>
      <c r="G2" s="674" t="s">
        <v>5380</v>
      </c>
      <c r="H2" s="675" t="s">
        <v>4041</v>
      </c>
      <c r="I2" s="676" t="s">
        <v>5387</v>
      </c>
      <c r="J2" s="677" t="s">
        <v>5388</v>
      </c>
      <c r="K2" s="678" t="s">
        <v>5389</v>
      </c>
    </row>
    <row r="3" spans="1:11" x14ac:dyDescent="0.25">
      <c r="A3">
        <v>411</v>
      </c>
      <c r="B3" t="s">
        <v>5385</v>
      </c>
      <c r="C3" s="663">
        <v>39452926.409999996</v>
      </c>
      <c r="D3" s="665">
        <v>658012.5</v>
      </c>
      <c r="E3" s="665">
        <f>SUM(C3:D3)</f>
        <v>40110938.909999996</v>
      </c>
      <c r="F3" s="663">
        <f>H3-G3</f>
        <v>39616741.809999995</v>
      </c>
      <c r="G3" s="665">
        <v>494197.1</v>
      </c>
      <c r="H3" s="665">
        <v>40110938.909999996</v>
      </c>
      <c r="I3" s="664">
        <f t="shared" ref="I3:J5" si="0">F3-C3</f>
        <v>163815.39999999851</v>
      </c>
      <c r="J3" s="666">
        <f t="shared" si="0"/>
        <v>-163815.40000000002</v>
      </c>
      <c r="K3" s="667">
        <f>SUM(I3:J3)</f>
        <v>-1.5133991837501526E-9</v>
      </c>
    </row>
    <row r="4" spans="1:11" x14ac:dyDescent="0.25">
      <c r="A4">
        <v>412</v>
      </c>
      <c r="B4" t="s">
        <v>5386</v>
      </c>
      <c r="C4" s="663">
        <v>7062074.8100000005</v>
      </c>
      <c r="D4" s="665">
        <v>117784.26</v>
      </c>
      <c r="E4" s="665">
        <f>SUM(C4:D4)</f>
        <v>7179859.0700000003</v>
      </c>
      <c r="F4" s="663">
        <f>H4-G4</f>
        <v>7091397.7600000007</v>
      </c>
      <c r="G4" s="665">
        <v>88461.31</v>
      </c>
      <c r="H4" s="665">
        <v>7179859.0700000003</v>
      </c>
      <c r="I4" s="664">
        <f t="shared" si="0"/>
        <v>29322.950000000186</v>
      </c>
      <c r="J4" s="666">
        <f t="shared" si="0"/>
        <v>-29322.949999999997</v>
      </c>
      <c r="K4" s="667">
        <f>SUM(I4:J4)</f>
        <v>1.8917489796876907E-10</v>
      </c>
    </row>
    <row r="5" spans="1:11" x14ac:dyDescent="0.25">
      <c r="C5" s="668">
        <f t="shared" ref="C5:H5" si="1">SUM(C3:C4)</f>
        <v>46515001.219999999</v>
      </c>
      <c r="D5" s="669">
        <f t="shared" si="1"/>
        <v>775796.76</v>
      </c>
      <c r="E5" s="669">
        <f t="shared" si="1"/>
        <v>47290797.979999997</v>
      </c>
      <c r="F5" s="668">
        <f t="shared" si="1"/>
        <v>46708139.569999993</v>
      </c>
      <c r="G5" s="669">
        <f t="shared" si="1"/>
        <v>582658.40999999992</v>
      </c>
      <c r="H5" s="669">
        <f t="shared" si="1"/>
        <v>47290797.979999997</v>
      </c>
      <c r="I5" s="670">
        <f t="shared" si="0"/>
        <v>193138.34999999404</v>
      </c>
      <c r="J5" s="671">
        <f t="shared" si="0"/>
        <v>-193138.35000000009</v>
      </c>
      <c r="K5" s="672">
        <f>SUM(I5:J5)</f>
        <v>-6.0535967350006104E-9</v>
      </c>
    </row>
    <row r="7" spans="1:11" x14ac:dyDescent="0.25">
      <c r="B7" s="432" t="s">
        <v>5383</v>
      </c>
      <c r="C7" s="659">
        <v>411</v>
      </c>
      <c r="D7" s="659">
        <v>412</v>
      </c>
      <c r="E7" s="659" t="s">
        <v>5377</v>
      </c>
    </row>
    <row r="8" spans="1:11" x14ac:dyDescent="0.25">
      <c r="B8" s="658" t="s">
        <v>5378</v>
      </c>
      <c r="C8" s="367">
        <f>39413.02+6160.94</f>
        <v>45573.96</v>
      </c>
      <c r="D8" s="367">
        <f>5468.88+2347.06+341.8</f>
        <v>8157.7400000000007</v>
      </c>
      <c r="E8" s="367">
        <f>SUM(C8:D8)</f>
        <v>53731.7</v>
      </c>
      <c r="F8" s="367">
        <v>39616741.809999995</v>
      </c>
      <c r="G8" s="367">
        <v>31274668.700000003</v>
      </c>
      <c r="H8" s="367">
        <f>F8*G11</f>
        <v>31363253.93291666</v>
      </c>
      <c r="I8" s="661">
        <f>H8-G8</f>
        <v>88585.232916656882</v>
      </c>
    </row>
    <row r="9" spans="1:11" x14ac:dyDescent="0.25">
      <c r="B9" s="658">
        <v>9</v>
      </c>
      <c r="C9" s="367">
        <v>87350.3</v>
      </c>
      <c r="D9" s="367">
        <v>15635.71</v>
      </c>
      <c r="E9" s="367">
        <f>SUM(C9:D9)</f>
        <v>102986.01000000001</v>
      </c>
      <c r="F9" s="367">
        <v>7091397.7600000007</v>
      </c>
      <c r="G9" s="367">
        <v>5607207.3499999996</v>
      </c>
      <c r="H9" s="367">
        <f>F9*G11</f>
        <v>5614023.2266666666</v>
      </c>
      <c r="I9" s="661">
        <f>H9-G9</f>
        <v>6815.8766666669399</v>
      </c>
    </row>
    <row r="10" spans="1:11" x14ac:dyDescent="0.25">
      <c r="B10" s="658" t="s">
        <v>250</v>
      </c>
      <c r="C10" s="367">
        <v>87350.3</v>
      </c>
      <c r="D10" s="367">
        <v>15635.71</v>
      </c>
      <c r="E10" s="367">
        <f>SUM(C10:D10)</f>
        <v>102986.01000000001</v>
      </c>
    </row>
    <row r="11" spans="1:11" x14ac:dyDescent="0.25">
      <c r="B11" s="658" t="s">
        <v>252</v>
      </c>
      <c r="C11" s="367">
        <v>87350.3</v>
      </c>
      <c r="D11" s="367">
        <v>15635.71</v>
      </c>
      <c r="E11" s="367">
        <f>SUM(C11:D11)</f>
        <v>102986.01000000001</v>
      </c>
      <c r="G11">
        <f>19/24</f>
        <v>0.79166666666666663</v>
      </c>
      <c r="I11" s="367">
        <f>SUM(I8:I9)</f>
        <v>95401.109583323821</v>
      </c>
      <c r="J11" s="662" t="s">
        <v>5381</v>
      </c>
    </row>
    <row r="12" spans="1:11" x14ac:dyDescent="0.25">
      <c r="B12" s="658" t="s">
        <v>254</v>
      </c>
      <c r="C12" s="367">
        <v>87350.3</v>
      </c>
      <c r="D12" s="367">
        <v>15635.71</v>
      </c>
      <c r="E12" s="367">
        <f>SUM(C12:D12)</f>
        <v>102986.01000000001</v>
      </c>
    </row>
    <row r="13" spans="1:11" x14ac:dyDescent="0.25">
      <c r="B13" s="658"/>
      <c r="C13" s="545">
        <f>SUM(C8:C12)</f>
        <v>394975.16</v>
      </c>
      <c r="D13" s="545">
        <f>SUM(D8:D12)</f>
        <v>70700.58</v>
      </c>
      <c r="E13" s="545">
        <f>SUM(E8:E12)</f>
        <v>465675.74000000005</v>
      </c>
    </row>
    <row r="14" spans="1:11" x14ac:dyDescent="0.25">
      <c r="B14" s="660" t="s">
        <v>5382</v>
      </c>
      <c r="C14" s="659">
        <v>411</v>
      </c>
      <c r="D14" s="659">
        <v>412</v>
      </c>
      <c r="E14" s="659" t="s">
        <v>5377</v>
      </c>
    </row>
    <row r="15" spans="1:11" x14ac:dyDescent="0.25">
      <c r="B15" s="658" t="s">
        <v>250</v>
      </c>
      <c r="C15" s="367">
        <v>20528.64</v>
      </c>
      <c r="D15" s="367">
        <v>3674.63</v>
      </c>
      <c r="E15" s="367">
        <f>SUM(C15:D15)</f>
        <v>24203.27</v>
      </c>
    </row>
    <row r="16" spans="1:11" x14ac:dyDescent="0.25">
      <c r="B16" s="658" t="s">
        <v>252</v>
      </c>
      <c r="C16" s="367">
        <v>39346.65</v>
      </c>
      <c r="D16" s="367">
        <v>7043.05</v>
      </c>
      <c r="E16" s="367">
        <f>SUM(C16:D16)</f>
        <v>46389.700000000004</v>
      </c>
    </row>
    <row r="17" spans="2:9" x14ac:dyDescent="0.25">
      <c r="B17" s="658" t="s">
        <v>254</v>
      </c>
      <c r="C17" s="367">
        <v>39346.65</v>
      </c>
      <c r="D17" s="367">
        <v>7043.05</v>
      </c>
      <c r="E17" s="367">
        <f>SUM(C17:D17)</f>
        <v>46389.700000000004</v>
      </c>
    </row>
    <row r="18" spans="2:9" x14ac:dyDescent="0.25">
      <c r="B18" s="658"/>
      <c r="C18" s="545">
        <f>SUM(C15:C17)</f>
        <v>99221.94</v>
      </c>
      <c r="D18" s="545">
        <f>SUM(D15:D17)</f>
        <v>17760.73</v>
      </c>
      <c r="E18" s="545">
        <f>SUM(E15:E17)</f>
        <v>116982.67000000001</v>
      </c>
    </row>
    <row r="19" spans="2:9" x14ac:dyDescent="0.25">
      <c r="B19" s="658"/>
    </row>
    <row r="20" spans="2:9" x14ac:dyDescent="0.25">
      <c r="C20" s="545">
        <f>C13+C18</f>
        <v>494197.1</v>
      </c>
      <c r="D20" s="545">
        <f>D13+D18</f>
        <v>88461.31</v>
      </c>
      <c r="E20" s="545">
        <f>E13+E18</f>
        <v>582658.41</v>
      </c>
    </row>
    <row r="22" spans="2:9" x14ac:dyDescent="0.25">
      <c r="B22">
        <v>2019</v>
      </c>
      <c r="C22" s="1214" t="s">
        <v>5392</v>
      </c>
      <c r="D22" s="1215"/>
      <c r="E22" s="1216"/>
      <c r="F22" s="679"/>
      <c r="G22" s="680" t="s">
        <v>5391</v>
      </c>
      <c r="H22" s="682" t="s">
        <v>5393</v>
      </c>
      <c r="I22" s="682" t="s">
        <v>5394</v>
      </c>
    </row>
    <row r="23" spans="2:9" x14ac:dyDescent="0.25">
      <c r="C23" s="615">
        <f>C17*12</f>
        <v>472159.80000000005</v>
      </c>
      <c r="D23" s="615">
        <f>D16*12</f>
        <v>84516.6</v>
      </c>
      <c r="E23" s="615">
        <f>SUM(C23:D23)</f>
        <v>556676.4</v>
      </c>
      <c r="F23" s="682">
        <v>411</v>
      </c>
      <c r="G23" s="615">
        <v>40110938.909999996</v>
      </c>
      <c r="H23" s="615">
        <v>1520363.4000000001</v>
      </c>
      <c r="I23" s="615">
        <f>G23-H23</f>
        <v>38590575.509999998</v>
      </c>
    </row>
    <row r="24" spans="2:9" x14ac:dyDescent="0.25">
      <c r="C24" s="615">
        <f>C12*12</f>
        <v>1048203.6000000001</v>
      </c>
      <c r="D24" s="615">
        <f>D12*12</f>
        <v>187628.52</v>
      </c>
      <c r="E24" s="615">
        <f>E12*12</f>
        <v>1235832.1200000001</v>
      </c>
      <c r="F24" s="682">
        <v>412</v>
      </c>
      <c r="G24" s="615">
        <v>7179859.0700000003</v>
      </c>
      <c r="H24" s="615">
        <v>272145.12</v>
      </c>
      <c r="I24" s="615">
        <f>G24-H24</f>
        <v>6907713.9500000002</v>
      </c>
    </row>
    <row r="25" spans="2:9" x14ac:dyDescent="0.25">
      <c r="C25" s="615">
        <f>SUM(C23:C24)</f>
        <v>1520363.4000000001</v>
      </c>
      <c r="D25" s="615">
        <f>SUM(D23:D24)</f>
        <v>272145.12</v>
      </c>
      <c r="E25" s="615">
        <f>SUM(E23:E24)</f>
        <v>1792508.52</v>
      </c>
      <c r="F25" s="682" t="s">
        <v>5390</v>
      </c>
      <c r="G25" s="681">
        <v>47290797.979999997</v>
      </c>
      <c r="H25" s="681">
        <f>SUM(H23:H24)</f>
        <v>1792508.52</v>
      </c>
      <c r="I25" s="681">
        <f>G25-H25</f>
        <v>45498289.459999993</v>
      </c>
    </row>
  </sheetData>
  <mergeCells count="2">
    <mergeCell ref="A1:K1"/>
    <mergeCell ref="C22:E22"/>
  </mergeCells>
  <pageMargins left="0.7" right="0.7" top="0.75" bottom="0.75" header="0.3" footer="0.3"/>
  <pageSetup paperSize="9" scale="75"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6" workbookViewId="0">
      <selection activeCell="E35" sqref="E35"/>
    </sheetView>
  </sheetViews>
  <sheetFormatPr defaultRowHeight="15" x14ac:dyDescent="0.25"/>
  <cols>
    <col min="3" max="3" width="13.140625" customWidth="1"/>
    <col min="4" max="4" width="15.28515625" customWidth="1"/>
    <col min="5" max="5" width="15.7109375" customWidth="1"/>
    <col min="6" max="6" width="15.42578125" style="367" customWidth="1"/>
    <col min="7" max="7" width="15.85546875" customWidth="1"/>
    <col min="8" max="8" width="14.5703125" customWidth="1"/>
    <col min="9" max="9" width="13.42578125" customWidth="1"/>
  </cols>
  <sheetData>
    <row r="1" spans="1:9" x14ac:dyDescent="0.25">
      <c r="A1" t="s">
        <v>5396</v>
      </c>
      <c r="C1" t="s">
        <v>5397</v>
      </c>
      <c r="D1" t="s">
        <v>5398</v>
      </c>
      <c r="E1" t="s">
        <v>5375</v>
      </c>
      <c r="G1" s="662"/>
    </row>
    <row r="2" spans="1:9" x14ac:dyDescent="0.25">
      <c r="B2">
        <v>411</v>
      </c>
      <c r="C2" s="367">
        <v>2620502.29</v>
      </c>
      <c r="D2" s="367">
        <v>2636632.7599999998</v>
      </c>
      <c r="E2" s="367">
        <v>39616741.809999995</v>
      </c>
      <c r="F2" s="367">
        <f>SUM(C2:E2)</f>
        <v>44873876.859999992</v>
      </c>
      <c r="G2" s="367"/>
    </row>
    <row r="3" spans="1:9" x14ac:dyDescent="0.25">
      <c r="B3">
        <v>412</v>
      </c>
      <c r="C3" s="367">
        <v>469069.92</v>
      </c>
      <c r="D3" s="367">
        <v>471957.28</v>
      </c>
      <c r="E3" s="367">
        <v>7091397.7600000007</v>
      </c>
      <c r="F3" s="367">
        <f>SUM(C3:E3)</f>
        <v>8032424.9600000009</v>
      </c>
      <c r="G3" s="367"/>
    </row>
    <row r="4" spans="1:9" x14ac:dyDescent="0.25">
      <c r="B4" t="s">
        <v>5377</v>
      </c>
      <c r="C4" s="367">
        <f>SUM(C2:C3)</f>
        <v>3089572.21</v>
      </c>
      <c r="D4" s="367">
        <f>SUM(D2:D3)</f>
        <v>3108590.04</v>
      </c>
      <c r="E4" s="367">
        <f>SUM(E2:E3)</f>
        <v>46708139.569999993</v>
      </c>
      <c r="F4" s="367">
        <f>SUM(F2:F3)</f>
        <v>52906301.819999993</v>
      </c>
      <c r="G4" s="367"/>
    </row>
    <row r="5" spans="1:9" x14ac:dyDescent="0.25">
      <c r="B5">
        <v>465</v>
      </c>
      <c r="C5" s="661">
        <v>323700</v>
      </c>
      <c r="D5" s="661">
        <v>323000</v>
      </c>
      <c r="E5" s="661">
        <v>4087986.1599999997</v>
      </c>
      <c r="F5" s="661">
        <f>SUM(C5:E5)</f>
        <v>4734686.16</v>
      </c>
    </row>
    <row r="9" spans="1:9" x14ac:dyDescent="0.25">
      <c r="C9" s="662" t="s">
        <v>5399</v>
      </c>
      <c r="E9" t="s">
        <v>5402</v>
      </c>
      <c r="F9" s="367" t="s">
        <v>5403</v>
      </c>
      <c r="G9" t="s">
        <v>5404</v>
      </c>
      <c r="H9" t="s">
        <v>5405</v>
      </c>
      <c r="I9" t="s">
        <v>5377</v>
      </c>
    </row>
    <row r="10" spans="1:9" x14ac:dyDescent="0.25">
      <c r="B10">
        <v>411</v>
      </c>
      <c r="C10" s="367">
        <v>6622948</v>
      </c>
      <c r="E10" s="367">
        <v>44873876.859999992</v>
      </c>
      <c r="F10" s="367">
        <v>6622948</v>
      </c>
      <c r="G10" s="367">
        <v>23199299.48</v>
      </c>
      <c r="H10" s="367">
        <v>494197.10000000149</v>
      </c>
      <c r="I10" s="367">
        <f>SUM(E10:H10)</f>
        <v>75190321.439999998</v>
      </c>
    </row>
    <row r="11" spans="1:9" x14ac:dyDescent="0.25">
      <c r="B11">
        <v>412</v>
      </c>
      <c r="C11" s="367">
        <v>1186108</v>
      </c>
      <c r="E11" s="367">
        <v>8032424.9600000009</v>
      </c>
      <c r="F11" s="367">
        <v>1186108</v>
      </c>
      <c r="G11" s="367">
        <v>4152674.89</v>
      </c>
      <c r="H11" s="367">
        <v>88461.309999999808</v>
      </c>
      <c r="I11" s="367">
        <f>SUM(E11:H11)</f>
        <v>13459669.160000002</v>
      </c>
    </row>
    <row r="12" spans="1:9" x14ac:dyDescent="0.25">
      <c r="C12" s="367">
        <f>SUM(C10:C11)</f>
        <v>7809056</v>
      </c>
      <c r="E12" s="367">
        <f>SUM(E10:E11)</f>
        <v>52906301.819999993</v>
      </c>
      <c r="F12" s="367">
        <f>SUM(F10:F11)</f>
        <v>7809056</v>
      </c>
      <c r="G12" s="367">
        <f>SUM(G10:G11)</f>
        <v>27351974.370000001</v>
      </c>
      <c r="H12" s="367">
        <f>SUM(H10:H11)</f>
        <v>582658.41000000131</v>
      </c>
      <c r="I12" s="367">
        <f>SUM(I10:I11)</f>
        <v>88649990.599999994</v>
      </c>
    </row>
    <row r="14" spans="1:9" x14ac:dyDescent="0.25">
      <c r="D14">
        <v>465</v>
      </c>
      <c r="E14" s="367">
        <v>4734686</v>
      </c>
      <c r="F14" s="367">
        <v>440000</v>
      </c>
      <c r="G14" s="367">
        <v>2347884.0299999998</v>
      </c>
      <c r="H14" s="367">
        <v>62578.14</v>
      </c>
      <c r="I14" s="367">
        <f>SUM(E14:H14)</f>
        <v>7585148.169999999</v>
      </c>
    </row>
    <row r="15" spans="1:9" x14ac:dyDescent="0.25">
      <c r="E15" s="367">
        <v>233854</v>
      </c>
      <c r="F15" s="367">
        <v>35000</v>
      </c>
      <c r="G15" s="367">
        <v>0</v>
      </c>
      <c r="H15" s="367">
        <v>0</v>
      </c>
    </row>
    <row r="16" spans="1:9" x14ac:dyDescent="0.25">
      <c r="E16" s="661">
        <f>SUM(E14:E15)</f>
        <v>4968540</v>
      </c>
      <c r="F16" s="661">
        <f>SUM(F14:F15)</f>
        <v>475000</v>
      </c>
      <c r="G16" s="661">
        <f>SUM(G14:G15)</f>
        <v>2347884.0299999998</v>
      </c>
      <c r="H16" s="661">
        <f>SUM(H14:H15)</f>
        <v>62578.14</v>
      </c>
    </row>
    <row r="17" spans="1:9" x14ac:dyDescent="0.25">
      <c r="C17" t="s">
        <v>5400</v>
      </c>
    </row>
    <row r="18" spans="1:9" x14ac:dyDescent="0.25">
      <c r="B18">
        <v>411</v>
      </c>
      <c r="C18" s="367">
        <v>23199299.48</v>
      </c>
    </row>
    <row r="19" spans="1:9" x14ac:dyDescent="0.25">
      <c r="B19">
        <v>412</v>
      </c>
      <c r="C19" s="367">
        <v>4152674.89</v>
      </c>
    </row>
    <row r="20" spans="1:9" x14ac:dyDescent="0.25">
      <c r="C20" s="367">
        <f>SUM(C18:C19)</f>
        <v>27351974.370000001</v>
      </c>
      <c r="E20">
        <v>233853.73207673855</v>
      </c>
    </row>
    <row r="21" spans="1:9" x14ac:dyDescent="0.25">
      <c r="E21">
        <v>35000</v>
      </c>
    </row>
    <row r="25" spans="1:9" x14ac:dyDescent="0.25">
      <c r="C25" t="s">
        <v>5401</v>
      </c>
    </row>
    <row r="26" spans="1:9" x14ac:dyDescent="0.25">
      <c r="B26">
        <v>411</v>
      </c>
      <c r="C26" s="367">
        <v>494197.10000000149</v>
      </c>
    </row>
    <row r="27" spans="1:9" x14ac:dyDescent="0.25">
      <c r="B27">
        <v>412</v>
      </c>
      <c r="C27" s="367">
        <v>88461.309999999808</v>
      </c>
    </row>
    <row r="28" spans="1:9" x14ac:dyDescent="0.25">
      <c r="C28" s="367">
        <f>SUM(C26:C27)</f>
        <v>582658.41000000131</v>
      </c>
    </row>
    <row r="31" spans="1:9" x14ac:dyDescent="0.25">
      <c r="B31" s="662" t="s">
        <v>5397</v>
      </c>
      <c r="C31" s="662" t="s">
        <v>5406</v>
      </c>
      <c r="D31" s="662" t="s">
        <v>5375</v>
      </c>
      <c r="E31" s="662" t="s">
        <v>5407</v>
      </c>
      <c r="F31" s="685" t="s">
        <v>5408</v>
      </c>
      <c r="G31" s="662" t="s">
        <v>5409</v>
      </c>
      <c r="H31" s="662" t="s">
        <v>5410</v>
      </c>
    </row>
    <row r="32" spans="1:9" x14ac:dyDescent="0.25">
      <c r="A32">
        <v>413</v>
      </c>
      <c r="B32" s="367"/>
      <c r="C32" s="367"/>
      <c r="D32" s="367"/>
      <c r="E32" s="367">
        <v>3304708.5</v>
      </c>
      <c r="G32" s="367"/>
      <c r="H32" s="367"/>
      <c r="I32" s="367">
        <f>SUM(E32:H32)</f>
        <v>3304708.5</v>
      </c>
    </row>
    <row r="33" spans="1:9" x14ac:dyDescent="0.25">
      <c r="A33">
        <v>414</v>
      </c>
      <c r="B33" s="367"/>
      <c r="C33" s="367"/>
      <c r="D33" s="367">
        <v>613864.30000000005</v>
      </c>
      <c r="E33" s="367">
        <f>SUM(B33:D33)</f>
        <v>613864.30000000005</v>
      </c>
      <c r="F33" s="367">
        <v>50000</v>
      </c>
      <c r="G33" s="367">
        <v>35000</v>
      </c>
      <c r="H33" s="367"/>
      <c r="I33" s="367">
        <f>SUM(E33:H33)</f>
        <v>698864.3</v>
      </c>
    </row>
    <row r="34" spans="1:9" x14ac:dyDescent="0.25">
      <c r="A34">
        <v>415</v>
      </c>
      <c r="B34" s="367">
        <v>86545.82</v>
      </c>
      <c r="C34" s="367">
        <v>146374.29999999999</v>
      </c>
      <c r="D34" s="367">
        <v>2853591.1</v>
      </c>
      <c r="E34" s="367">
        <f>SUM(B34:D34)</f>
        <v>3086511.22</v>
      </c>
      <c r="F34" s="367">
        <v>335000</v>
      </c>
      <c r="G34" s="367">
        <v>2175000</v>
      </c>
      <c r="H34" s="367"/>
      <c r="I34" s="367">
        <f>SUM(E34:H34)</f>
        <v>5596511.2200000007</v>
      </c>
    </row>
    <row r="35" spans="1:9" x14ac:dyDescent="0.25">
      <c r="A35">
        <v>416</v>
      </c>
      <c r="B35" s="367"/>
      <c r="C35" s="367"/>
      <c r="D35" s="367"/>
      <c r="E35" s="367">
        <f>1364691.59+455000</f>
        <v>1819691.59</v>
      </c>
      <c r="G35" s="367">
        <v>708000</v>
      </c>
      <c r="H35" s="367"/>
      <c r="I35" s="367">
        <f>SUM(E35:H35)</f>
        <v>2527691.59</v>
      </c>
    </row>
    <row r="36" spans="1:9" x14ac:dyDescent="0.25">
      <c r="I36" s="367">
        <f>SUM(I32:I35)</f>
        <v>12127775.609999999</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selection activeCell="A31" sqref="A31"/>
    </sheetView>
  </sheetViews>
  <sheetFormatPr defaultRowHeight="15" x14ac:dyDescent="0.25"/>
  <cols>
    <col min="1" max="1" width="17.140625" customWidth="1"/>
    <col min="2" max="2" width="15.5703125" customWidth="1"/>
    <col min="3" max="3" width="13" customWidth="1"/>
    <col min="4" max="4" width="13.5703125" customWidth="1"/>
  </cols>
  <sheetData>
    <row r="1" spans="1:5" ht="60.75" thickBot="1" x14ac:dyDescent="0.3">
      <c r="A1" s="1217" t="s">
        <v>5546</v>
      </c>
      <c r="B1" s="1218" t="s">
        <v>5547</v>
      </c>
      <c r="C1" s="1218" t="s">
        <v>5548</v>
      </c>
      <c r="D1" s="1218" t="s">
        <v>5554</v>
      </c>
    </row>
    <row r="2" spans="1:5" ht="15.75" thickBot="1" x14ac:dyDescent="0.3">
      <c r="A2" s="1219" t="s">
        <v>5549</v>
      </c>
      <c r="B2" s="1220">
        <v>0.5131</v>
      </c>
      <c r="C2" s="1221">
        <v>201470.25</v>
      </c>
      <c r="D2" s="1221">
        <v>103374.39</v>
      </c>
    </row>
    <row r="3" spans="1:5" ht="15.75" thickBot="1" x14ac:dyDescent="0.3">
      <c r="A3" s="1219" t="s">
        <v>5550</v>
      </c>
      <c r="B3" s="1220">
        <v>0.1767</v>
      </c>
      <c r="C3" s="1221">
        <v>201470.25</v>
      </c>
      <c r="D3" s="1221">
        <v>35599.79</v>
      </c>
    </row>
    <row r="4" spans="1:5" ht="15.75" thickBot="1" x14ac:dyDescent="0.3">
      <c r="A4" s="1219" t="s">
        <v>5551</v>
      </c>
      <c r="B4" s="1220">
        <v>0.13339999999999999</v>
      </c>
      <c r="C4" s="1221">
        <v>201470.25</v>
      </c>
      <c r="D4" s="1221">
        <v>26876.13</v>
      </c>
    </row>
    <row r="5" spans="1:5" ht="15.75" thickBot="1" x14ac:dyDescent="0.3">
      <c r="A5" s="1219" t="s">
        <v>5552</v>
      </c>
      <c r="B5" s="1220">
        <v>0.1072</v>
      </c>
      <c r="C5" s="1221">
        <v>201470.25</v>
      </c>
      <c r="D5" s="1221">
        <v>21597.61</v>
      </c>
    </row>
    <row r="6" spans="1:5" ht="15.75" thickBot="1" x14ac:dyDescent="0.3">
      <c r="A6" s="1219" t="s">
        <v>5553</v>
      </c>
      <c r="B6" s="1220">
        <v>6.9599999999999995E-2</v>
      </c>
      <c r="C6" s="1221">
        <v>201470.25</v>
      </c>
      <c r="D6" s="1221">
        <v>14022.33</v>
      </c>
    </row>
    <row r="7" spans="1:5" ht="15.75" thickBot="1" x14ac:dyDescent="0.3">
      <c r="A7" s="1219"/>
      <c r="B7" s="1220">
        <v>1</v>
      </c>
      <c r="C7" s="1222"/>
      <c r="D7" s="1221">
        <f>SUM(D2:D6)</f>
        <v>201470.24999999997</v>
      </c>
    </row>
    <row r="13" spans="1:5" x14ac:dyDescent="0.25">
      <c r="A13">
        <v>200000</v>
      </c>
      <c r="C13" s="432">
        <v>8364560</v>
      </c>
    </row>
    <row r="14" spans="1:5" x14ac:dyDescent="0.25">
      <c r="A14">
        <v>60500</v>
      </c>
      <c r="E14">
        <v>66034</v>
      </c>
    </row>
    <row r="15" spans="1:5" x14ac:dyDescent="0.25">
      <c r="A15">
        <v>617620</v>
      </c>
      <c r="E15">
        <v>49900</v>
      </c>
    </row>
    <row r="16" spans="1:5" x14ac:dyDescent="0.25">
      <c r="A16">
        <v>65000</v>
      </c>
      <c r="C16" s="1224">
        <f>C13-A22</f>
        <v>6748218</v>
      </c>
      <c r="E16">
        <v>46090</v>
      </c>
    </row>
    <row r="17" spans="1:3" x14ac:dyDescent="0.25">
      <c r="A17">
        <v>336840</v>
      </c>
    </row>
    <row r="18" spans="1:3" x14ac:dyDescent="0.25">
      <c r="A18">
        <v>79445</v>
      </c>
      <c r="C18">
        <v>1349255</v>
      </c>
    </row>
    <row r="19" spans="1:3" x14ac:dyDescent="0.25">
      <c r="A19">
        <v>50136</v>
      </c>
      <c r="C19">
        <v>327385</v>
      </c>
    </row>
    <row r="20" spans="1:3" x14ac:dyDescent="0.25">
      <c r="A20" s="1223">
        <v>84804</v>
      </c>
      <c r="C20" s="432">
        <f>C16-C18-C19</f>
        <v>5071578</v>
      </c>
    </row>
    <row r="21" spans="1:3" x14ac:dyDescent="0.25">
      <c r="A21" s="1223">
        <v>121997</v>
      </c>
    </row>
    <row r="22" spans="1:3" x14ac:dyDescent="0.25">
      <c r="A22" s="432">
        <f>SUM(A13:A21)</f>
        <v>1616342</v>
      </c>
      <c r="C22">
        <f>C20-E14-E15-E16</f>
        <v>4909554</v>
      </c>
    </row>
    <row r="24" spans="1:3" x14ac:dyDescent="0.25">
      <c r="C24">
        <v>3009000</v>
      </c>
    </row>
    <row r="26" spans="1:3" x14ac:dyDescent="0.25">
      <c r="C26">
        <f>C22-C24</f>
        <v>1900554</v>
      </c>
    </row>
    <row r="30" spans="1:3" x14ac:dyDescent="0.25">
      <c r="A30">
        <f>A22+C18+C19</f>
        <v>3292982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7"/>
  <sheetViews>
    <sheetView workbookViewId="0">
      <selection activeCell="D3" sqref="D3"/>
    </sheetView>
  </sheetViews>
  <sheetFormatPr defaultRowHeight="15" x14ac:dyDescent="0.25"/>
  <cols>
    <col min="2" max="2" width="58.85546875" customWidth="1"/>
    <col min="3" max="3" width="16.5703125" customWidth="1"/>
    <col min="4" max="4" width="13.28515625" customWidth="1"/>
    <col min="5" max="5" width="15.140625" customWidth="1"/>
    <col min="6" max="6" width="11.5703125" customWidth="1"/>
  </cols>
  <sheetData>
    <row r="1" spans="1:6" ht="42.75" x14ac:dyDescent="0.25">
      <c r="A1" s="14" t="s">
        <v>22</v>
      </c>
      <c r="B1" s="15" t="s">
        <v>23</v>
      </c>
      <c r="C1" s="15" t="s">
        <v>24</v>
      </c>
      <c r="D1" s="16" t="s">
        <v>25</v>
      </c>
      <c r="E1" s="74" t="s">
        <v>3759</v>
      </c>
      <c r="F1" s="74" t="s">
        <v>4110</v>
      </c>
    </row>
    <row r="2" spans="1:6" x14ac:dyDescent="0.25">
      <c r="A2" s="7">
        <v>1</v>
      </c>
      <c r="B2" s="6">
        <v>2</v>
      </c>
      <c r="C2" s="6">
        <v>3</v>
      </c>
      <c r="D2" s="6">
        <v>4</v>
      </c>
      <c r="E2" s="6">
        <v>5</v>
      </c>
      <c r="F2" s="152">
        <v>6</v>
      </c>
    </row>
    <row r="3" spans="1:6" ht="28.5" x14ac:dyDescent="0.25">
      <c r="A3" s="41" t="s">
        <v>26</v>
      </c>
      <c r="B3" s="18" t="s">
        <v>27</v>
      </c>
      <c r="C3" s="12" t="s">
        <v>28</v>
      </c>
      <c r="D3" s="19"/>
      <c r="E3" s="75"/>
      <c r="F3" s="75"/>
    </row>
    <row r="4" spans="1:6" x14ac:dyDescent="0.25">
      <c r="A4" s="42" t="s">
        <v>16</v>
      </c>
      <c r="B4" s="20" t="s">
        <v>29</v>
      </c>
      <c r="C4" s="21">
        <v>71</v>
      </c>
      <c r="D4" s="22"/>
      <c r="E4" s="76"/>
      <c r="F4" s="76"/>
    </row>
    <row r="5" spans="1:6" ht="30" x14ac:dyDescent="0.25">
      <c r="A5" s="13" t="s">
        <v>30</v>
      </c>
      <c r="B5" s="23" t="s">
        <v>31</v>
      </c>
      <c r="C5" s="17">
        <v>711</v>
      </c>
      <c r="D5" s="24"/>
      <c r="E5" s="77"/>
      <c r="F5" s="77"/>
    </row>
    <row r="6" spans="1:6" x14ac:dyDescent="0.25">
      <c r="A6" s="13" t="s">
        <v>32</v>
      </c>
      <c r="B6" s="23" t="s">
        <v>33</v>
      </c>
      <c r="C6" s="17">
        <v>711180</v>
      </c>
      <c r="D6" s="24"/>
      <c r="E6" s="77"/>
      <c r="F6" s="77"/>
    </row>
    <row r="7" spans="1:6" x14ac:dyDescent="0.25">
      <c r="A7" s="13" t="s">
        <v>34</v>
      </c>
      <c r="B7" s="23" t="s">
        <v>35</v>
      </c>
      <c r="C7" s="17">
        <v>713</v>
      </c>
      <c r="D7" s="24"/>
      <c r="E7" s="77"/>
      <c r="F7" s="77"/>
    </row>
    <row r="8" spans="1:6" x14ac:dyDescent="0.25">
      <c r="A8" s="13" t="s">
        <v>36</v>
      </c>
      <c r="B8" s="23" t="s">
        <v>37</v>
      </c>
      <c r="C8" s="17"/>
      <c r="D8" s="24"/>
      <c r="E8" s="77"/>
      <c r="F8" s="77"/>
    </row>
    <row r="9" spans="1:6" x14ac:dyDescent="0.25">
      <c r="A9" s="43" t="s">
        <v>17</v>
      </c>
      <c r="B9" s="25" t="s">
        <v>38</v>
      </c>
      <c r="C9" s="26">
        <v>74</v>
      </c>
      <c r="D9" s="27"/>
      <c r="E9" s="78"/>
      <c r="F9" s="78"/>
    </row>
    <row r="10" spans="1:6" x14ac:dyDescent="0.25">
      <c r="A10" s="44" t="s">
        <v>39</v>
      </c>
      <c r="B10" s="28" t="s">
        <v>40</v>
      </c>
      <c r="C10" s="29">
        <v>741510</v>
      </c>
      <c r="D10" s="30"/>
      <c r="E10" s="79"/>
      <c r="F10" s="79"/>
    </row>
    <row r="11" spans="1:6" x14ac:dyDescent="0.25">
      <c r="A11" s="45" t="s">
        <v>41</v>
      </c>
      <c r="B11" s="28" t="s">
        <v>42</v>
      </c>
      <c r="C11" s="29">
        <v>741520</v>
      </c>
      <c r="D11" s="30"/>
      <c r="E11" s="79"/>
      <c r="F11" s="79"/>
    </row>
    <row r="12" spans="1:6" x14ac:dyDescent="0.25">
      <c r="A12" s="45" t="s">
        <v>41</v>
      </c>
      <c r="B12" s="28" t="s">
        <v>43</v>
      </c>
      <c r="C12" s="29">
        <v>741534</v>
      </c>
      <c r="D12" s="30"/>
      <c r="E12" s="79"/>
      <c r="F12" s="79"/>
    </row>
    <row r="13" spans="1:6" x14ac:dyDescent="0.25">
      <c r="A13" s="45" t="s">
        <v>45</v>
      </c>
      <c r="B13" s="31" t="s">
        <v>44</v>
      </c>
      <c r="C13" s="29">
        <v>741542</v>
      </c>
      <c r="D13" s="30"/>
      <c r="E13" s="79"/>
      <c r="F13" s="79"/>
    </row>
    <row r="14" spans="1:6" x14ac:dyDescent="0.25">
      <c r="A14" s="45" t="s">
        <v>47</v>
      </c>
      <c r="B14" s="47" t="s">
        <v>46</v>
      </c>
      <c r="C14" s="48">
        <v>741411</v>
      </c>
      <c r="D14" s="30"/>
      <c r="E14" s="79"/>
      <c r="F14" s="79"/>
    </row>
    <row r="15" spans="1:6" x14ac:dyDescent="0.25">
      <c r="A15" s="45" t="s">
        <v>49</v>
      </c>
      <c r="B15" s="47" t="s">
        <v>48</v>
      </c>
      <c r="C15" s="49">
        <v>742252</v>
      </c>
      <c r="D15" s="30"/>
      <c r="E15" s="79"/>
      <c r="F15" s="79"/>
    </row>
    <row r="16" spans="1:6" x14ac:dyDescent="0.25">
      <c r="A16" s="45" t="s">
        <v>51</v>
      </c>
      <c r="B16" s="47" t="s">
        <v>50</v>
      </c>
      <c r="C16" s="49">
        <v>742253</v>
      </c>
      <c r="D16" s="30"/>
      <c r="E16" s="79"/>
      <c r="F16" s="79"/>
    </row>
    <row r="17" spans="1:6" ht="45" x14ac:dyDescent="0.25">
      <c r="A17" s="45" t="s">
        <v>92</v>
      </c>
      <c r="B17" s="50" t="s">
        <v>52</v>
      </c>
      <c r="C17" s="49">
        <v>742340</v>
      </c>
      <c r="D17" s="30"/>
      <c r="E17" s="79"/>
      <c r="F17" s="79"/>
    </row>
    <row r="18" spans="1:6" x14ac:dyDescent="0.25">
      <c r="A18" s="8" t="s">
        <v>93</v>
      </c>
      <c r="B18" s="50" t="s">
        <v>53</v>
      </c>
      <c r="C18" s="51"/>
      <c r="D18" s="30"/>
      <c r="E18" s="79"/>
      <c r="F18" s="79"/>
    </row>
    <row r="19" spans="1:6" x14ac:dyDescent="0.25">
      <c r="A19" s="46" t="s">
        <v>18</v>
      </c>
      <c r="B19" s="32" t="s">
        <v>54</v>
      </c>
      <c r="C19" s="33" t="s">
        <v>55</v>
      </c>
      <c r="D19" s="34"/>
      <c r="E19" s="80"/>
      <c r="F19" s="80"/>
    </row>
    <row r="20" spans="1:6" x14ac:dyDescent="0.25">
      <c r="A20" s="42" t="s">
        <v>19</v>
      </c>
      <c r="B20" s="20" t="s">
        <v>56</v>
      </c>
      <c r="C20" s="21">
        <v>733</v>
      </c>
      <c r="D20" s="22"/>
      <c r="E20" s="76"/>
      <c r="F20" s="76"/>
    </row>
    <row r="21" spans="1:6" x14ac:dyDescent="0.25">
      <c r="A21" s="42" t="s">
        <v>20</v>
      </c>
      <c r="B21" s="20" t="s">
        <v>57</v>
      </c>
      <c r="C21" s="21">
        <v>771</v>
      </c>
      <c r="D21" s="22"/>
      <c r="E21" s="76"/>
      <c r="F21" s="76"/>
    </row>
    <row r="22" spans="1:6" x14ac:dyDescent="0.25">
      <c r="A22" s="42" t="s">
        <v>21</v>
      </c>
      <c r="B22" s="20" t="s">
        <v>58</v>
      </c>
      <c r="C22" s="21">
        <v>8</v>
      </c>
      <c r="D22" s="22"/>
      <c r="E22" s="76"/>
      <c r="F22" s="76"/>
    </row>
    <row r="23" spans="1:6" ht="28.5" x14ac:dyDescent="0.25">
      <c r="A23" s="11" t="s">
        <v>59</v>
      </c>
      <c r="B23" s="18" t="s">
        <v>60</v>
      </c>
      <c r="C23" s="12" t="s">
        <v>61</v>
      </c>
      <c r="D23" s="19"/>
      <c r="E23" s="75"/>
      <c r="F23" s="75"/>
    </row>
    <row r="24" spans="1:6" x14ac:dyDescent="0.25">
      <c r="A24" s="42" t="s">
        <v>16</v>
      </c>
      <c r="B24" s="20" t="s">
        <v>62</v>
      </c>
      <c r="C24" s="21" t="s">
        <v>63</v>
      </c>
      <c r="D24" s="22"/>
      <c r="E24" s="76"/>
      <c r="F24" s="76"/>
    </row>
    <row r="25" spans="1:6" x14ac:dyDescent="0.25">
      <c r="A25" s="13" t="s">
        <v>30</v>
      </c>
      <c r="B25" s="23" t="s">
        <v>64</v>
      </c>
      <c r="C25" s="17">
        <v>41</v>
      </c>
      <c r="D25" s="24"/>
      <c r="E25" s="77"/>
      <c r="F25" s="77"/>
    </row>
    <row r="26" spans="1:6" x14ac:dyDescent="0.25">
      <c r="A26" s="13" t="s">
        <v>32</v>
      </c>
      <c r="B26" s="23" t="s">
        <v>65</v>
      </c>
      <c r="C26" s="17">
        <v>42</v>
      </c>
      <c r="D26" s="24"/>
      <c r="E26" s="77"/>
      <c r="F26" s="77"/>
    </row>
    <row r="27" spans="1:6" x14ac:dyDescent="0.25">
      <c r="A27" s="13" t="s">
        <v>34</v>
      </c>
      <c r="B27" s="23" t="s">
        <v>66</v>
      </c>
      <c r="C27" s="17">
        <v>43</v>
      </c>
      <c r="D27" s="24"/>
      <c r="E27" s="77"/>
      <c r="F27" s="77"/>
    </row>
    <row r="28" spans="1:6" x14ac:dyDescent="0.25">
      <c r="A28" s="13" t="s">
        <v>67</v>
      </c>
      <c r="B28" s="23" t="s">
        <v>68</v>
      </c>
      <c r="C28" s="17">
        <v>44</v>
      </c>
      <c r="D28" s="24"/>
      <c r="E28" s="77"/>
      <c r="F28" s="77"/>
    </row>
    <row r="29" spans="1:6" x14ac:dyDescent="0.25">
      <c r="A29" s="13" t="s">
        <v>69</v>
      </c>
      <c r="B29" s="23" t="s">
        <v>70</v>
      </c>
      <c r="C29" s="17">
        <v>45</v>
      </c>
      <c r="D29" s="24"/>
      <c r="E29" s="77"/>
      <c r="F29" s="77"/>
    </row>
    <row r="30" spans="1:6" x14ac:dyDescent="0.25">
      <c r="A30" s="13" t="s">
        <v>36</v>
      </c>
      <c r="B30" s="23" t="s">
        <v>71</v>
      </c>
      <c r="C30" s="17">
        <v>47</v>
      </c>
      <c r="D30" s="24"/>
      <c r="E30" s="77"/>
      <c r="F30" s="77"/>
    </row>
    <row r="31" spans="1:6" x14ac:dyDescent="0.25">
      <c r="A31" s="13" t="s">
        <v>72</v>
      </c>
      <c r="B31" s="23" t="s">
        <v>73</v>
      </c>
      <c r="C31" s="17" t="s">
        <v>74</v>
      </c>
      <c r="D31" s="24"/>
      <c r="E31" s="77"/>
      <c r="F31" s="77"/>
    </row>
    <row r="32" spans="1:6" x14ac:dyDescent="0.25">
      <c r="A32" s="42" t="s">
        <v>17</v>
      </c>
      <c r="B32" s="20" t="s">
        <v>56</v>
      </c>
      <c r="C32" s="21">
        <v>463</v>
      </c>
      <c r="D32" s="22"/>
      <c r="E32" s="76"/>
      <c r="F32" s="76"/>
    </row>
    <row r="33" spans="1:6" x14ac:dyDescent="0.25">
      <c r="A33" s="42" t="s">
        <v>18</v>
      </c>
      <c r="B33" s="20" t="s">
        <v>75</v>
      </c>
      <c r="C33" s="21">
        <v>5</v>
      </c>
      <c r="D33" s="22"/>
      <c r="E33" s="76"/>
      <c r="F33" s="76"/>
    </row>
    <row r="34" spans="1:6" x14ac:dyDescent="0.25">
      <c r="A34" s="42" t="s">
        <v>19</v>
      </c>
      <c r="B34" s="20" t="s">
        <v>76</v>
      </c>
      <c r="C34" s="21">
        <v>62</v>
      </c>
      <c r="D34" s="22"/>
      <c r="E34" s="76"/>
      <c r="F34" s="76"/>
    </row>
    <row r="35" spans="1:6" ht="28.5" x14ac:dyDescent="0.25">
      <c r="A35" s="11" t="s">
        <v>77</v>
      </c>
      <c r="B35" s="18" t="s">
        <v>78</v>
      </c>
      <c r="C35" s="12">
        <v>9</v>
      </c>
      <c r="D35" s="19"/>
      <c r="E35" s="75"/>
      <c r="F35" s="75"/>
    </row>
    <row r="36" spans="1:6" x14ac:dyDescent="0.25">
      <c r="A36" s="42" t="s">
        <v>16</v>
      </c>
      <c r="B36" s="20" t="s">
        <v>79</v>
      </c>
      <c r="C36" s="21">
        <v>91</v>
      </c>
      <c r="D36" s="22"/>
      <c r="E36" s="76"/>
      <c r="F36" s="76"/>
    </row>
    <row r="37" spans="1:6" x14ac:dyDescent="0.25">
      <c r="A37" s="13" t="s">
        <v>30</v>
      </c>
      <c r="B37" s="23" t="s">
        <v>80</v>
      </c>
      <c r="C37" s="17">
        <v>911</v>
      </c>
      <c r="D37" s="24"/>
      <c r="E37" s="77"/>
      <c r="F37" s="77"/>
    </row>
    <row r="38" spans="1:6" x14ac:dyDescent="0.25">
      <c r="A38" s="13" t="s">
        <v>32</v>
      </c>
      <c r="B38" s="23" t="s">
        <v>81</v>
      </c>
      <c r="C38" s="17">
        <v>912</v>
      </c>
      <c r="D38" s="24"/>
      <c r="E38" s="77"/>
      <c r="F38" s="77"/>
    </row>
    <row r="39" spans="1:6" ht="28.5" x14ac:dyDescent="0.25">
      <c r="A39" s="42" t="s">
        <v>17</v>
      </c>
      <c r="B39" s="20" t="s">
        <v>82</v>
      </c>
      <c r="C39" s="21">
        <v>92</v>
      </c>
      <c r="D39" s="22"/>
      <c r="E39" s="76"/>
      <c r="F39" s="76"/>
    </row>
    <row r="40" spans="1:6" ht="28.5" x14ac:dyDescent="0.25">
      <c r="A40" s="11" t="s">
        <v>83</v>
      </c>
      <c r="B40" s="18" t="s">
        <v>84</v>
      </c>
      <c r="C40" s="12">
        <v>6</v>
      </c>
      <c r="D40" s="19"/>
      <c r="E40" s="75"/>
      <c r="F40" s="75"/>
    </row>
    <row r="41" spans="1:6" x14ac:dyDescent="0.25">
      <c r="A41" s="42" t="s">
        <v>16</v>
      </c>
      <c r="B41" s="20" t="s">
        <v>85</v>
      </c>
      <c r="C41" s="21">
        <v>61</v>
      </c>
      <c r="D41" s="22"/>
      <c r="E41" s="76"/>
      <c r="F41" s="76"/>
    </row>
    <row r="42" spans="1:6" x14ac:dyDescent="0.25">
      <c r="A42" s="13" t="s">
        <v>30</v>
      </c>
      <c r="B42" s="23" t="s">
        <v>86</v>
      </c>
      <c r="C42" s="35">
        <v>611</v>
      </c>
      <c r="D42" s="36"/>
      <c r="E42" s="81"/>
      <c r="F42" s="81"/>
    </row>
    <row r="43" spans="1:6" x14ac:dyDescent="0.25">
      <c r="A43" s="13" t="s">
        <v>32</v>
      </c>
      <c r="B43" s="23" t="s">
        <v>87</v>
      </c>
      <c r="C43" s="35">
        <v>612</v>
      </c>
      <c r="D43" s="36"/>
      <c r="E43" s="81"/>
      <c r="F43" s="81"/>
    </row>
    <row r="44" spans="1:6" x14ac:dyDescent="0.25">
      <c r="A44" s="13" t="s">
        <v>34</v>
      </c>
      <c r="B44" s="23" t="s">
        <v>88</v>
      </c>
      <c r="C44" s="35">
        <v>613</v>
      </c>
      <c r="D44" s="36"/>
      <c r="E44" s="81"/>
      <c r="F44" s="81"/>
    </row>
    <row r="45" spans="1:6" x14ac:dyDescent="0.25">
      <c r="A45" s="42" t="s">
        <v>17</v>
      </c>
      <c r="B45" s="20" t="s">
        <v>89</v>
      </c>
      <c r="C45" s="37">
        <v>6211</v>
      </c>
      <c r="D45" s="38"/>
      <c r="E45" s="82"/>
      <c r="F45" s="82"/>
    </row>
    <row r="46" spans="1:6" x14ac:dyDescent="0.25">
      <c r="A46" s="10"/>
      <c r="B46" s="9"/>
      <c r="C46" s="39"/>
      <c r="D46" s="40"/>
      <c r="E46" s="83"/>
      <c r="F46" s="83"/>
    </row>
    <row r="47" spans="1:6" ht="28.5" x14ac:dyDescent="0.25">
      <c r="A47" s="11" t="s">
        <v>90</v>
      </c>
      <c r="B47" s="18" t="s">
        <v>91</v>
      </c>
      <c r="C47" s="12">
        <v>3</v>
      </c>
      <c r="D47" s="19"/>
      <c r="E47" s="75"/>
      <c r="F47" s="7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AI144"/>
  <sheetViews>
    <sheetView zoomScaleNormal="100" workbookViewId="0">
      <selection activeCell="D15" sqref="D15"/>
    </sheetView>
  </sheetViews>
  <sheetFormatPr defaultRowHeight="15" x14ac:dyDescent="0.25"/>
  <cols>
    <col min="1" max="1" width="9.42578125" style="616" customWidth="1"/>
    <col min="2" max="2" width="7.85546875" style="616" customWidth="1"/>
    <col min="3" max="3" width="31.42578125" style="735" customWidth="1"/>
    <col min="4" max="4" width="14.5703125" style="617" customWidth="1"/>
    <col min="5" max="5" width="11.7109375" style="739" hidden="1" customWidth="1"/>
    <col min="6" max="6" width="10.7109375" style="740" hidden="1" customWidth="1"/>
    <col min="7" max="7" width="14.5703125" style="616" customWidth="1"/>
    <col min="8" max="8" width="13" style="616" hidden="1" customWidth="1"/>
    <col min="9" max="9" width="10.42578125" style="740" hidden="1" customWidth="1"/>
    <col min="10" max="10" width="12" style="616" customWidth="1"/>
    <col min="11" max="11" width="12" style="616" hidden="1" customWidth="1"/>
    <col min="12" max="12" width="14.85546875" style="616" hidden="1" customWidth="1"/>
    <col min="13" max="13" width="13.7109375" style="616" customWidth="1"/>
    <col min="14" max="15" width="12" style="616" hidden="1" customWidth="1"/>
    <col min="16" max="16" width="12.85546875" style="616" customWidth="1"/>
    <col min="17" max="17" width="12" style="616" customWidth="1"/>
    <col min="18" max="19" width="12" style="616" hidden="1" customWidth="1"/>
    <col min="20" max="20" width="16.42578125" style="616" customWidth="1"/>
    <col min="21" max="22" width="13.140625" style="616" hidden="1" customWidth="1"/>
    <col min="23" max="23" width="13.140625" style="616" customWidth="1"/>
    <col min="24" max="25" width="13.140625" style="616" hidden="1" customWidth="1"/>
    <col min="26" max="26" width="13.140625" style="616" customWidth="1"/>
    <col min="27" max="27" width="15.140625" style="616" customWidth="1"/>
    <col min="28" max="29" width="15.140625" style="616" hidden="1" customWidth="1"/>
    <col min="30" max="30" width="9.140625" style="616"/>
    <col min="31" max="31" width="8.140625" style="616" customWidth="1"/>
    <col min="32" max="32" width="36.7109375" style="616" customWidth="1"/>
    <col min="33" max="33" width="14.28515625" style="616" customWidth="1"/>
    <col min="34" max="34" width="14.42578125" style="616" customWidth="1"/>
    <col min="35" max="35" width="15.28515625" style="616" customWidth="1"/>
    <col min="36" max="72" width="9.140625" style="616" customWidth="1"/>
    <col min="73" max="16384" width="9.140625" style="616"/>
  </cols>
  <sheetData>
    <row r="1" spans="1:35" x14ac:dyDescent="0.25">
      <c r="A1" s="1110" t="s">
        <v>5288</v>
      </c>
      <c r="B1" s="1110"/>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row>
    <row r="2" spans="1:35" ht="31.5" hidden="1" customHeight="1" x14ac:dyDescent="0.25">
      <c r="A2" s="1108" t="s">
        <v>5076</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row>
    <row r="3" spans="1:35" s="618" customFormat="1" ht="15.75" hidden="1" x14ac:dyDescent="0.25">
      <c r="A3" s="1109" t="s">
        <v>5071</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109"/>
      <c r="AA3" s="1109"/>
      <c r="AB3" s="1109"/>
      <c r="AC3" s="1109"/>
    </row>
    <row r="4" spans="1:35" s="690" customFormat="1" ht="15.75" hidden="1" x14ac:dyDescent="0.25">
      <c r="A4" s="1109" t="s">
        <v>5072</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row>
    <row r="5" spans="1:35" s="690" customFormat="1" ht="15.75" hidden="1" x14ac:dyDescent="0.25">
      <c r="A5" s="1109" t="s">
        <v>5073</v>
      </c>
      <c r="B5" s="1109"/>
      <c r="C5" s="1109"/>
      <c r="D5" s="1109"/>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row>
    <row r="6" spans="1:35" s="691" customFormat="1" ht="15.75" hidden="1" x14ac:dyDescent="0.25">
      <c r="A6" s="1106" t="s">
        <v>5074</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row>
    <row r="7" spans="1:35" s="691" customFormat="1" ht="15.75" hidden="1" x14ac:dyDescent="0.25">
      <c r="A7" s="1106" t="s">
        <v>5075</v>
      </c>
      <c r="B7" s="1106"/>
      <c r="C7" s="1106"/>
      <c r="D7" s="1106"/>
      <c r="E7" s="1106"/>
      <c r="F7" s="1106"/>
      <c r="G7" s="1106"/>
      <c r="H7" s="1106"/>
      <c r="I7" s="1106"/>
      <c r="J7" s="1106"/>
      <c r="K7" s="1106"/>
      <c r="L7" s="1106"/>
      <c r="M7" s="1106"/>
      <c r="N7" s="1106"/>
      <c r="O7" s="1106"/>
      <c r="P7" s="1106"/>
      <c r="Q7" s="1106"/>
      <c r="R7" s="1106"/>
      <c r="S7" s="1106"/>
      <c r="T7" s="1106"/>
      <c r="U7" s="1106"/>
      <c r="V7" s="1106"/>
      <c r="W7" s="1106"/>
      <c r="X7" s="1106"/>
      <c r="Y7" s="1106"/>
      <c r="Z7" s="1106"/>
      <c r="AA7" s="1106"/>
      <c r="AB7" s="1106"/>
      <c r="AC7" s="1106"/>
    </row>
    <row r="8" spans="1:35" s="690" customFormat="1" ht="39" hidden="1" customHeight="1" x14ac:dyDescent="0.25">
      <c r="A8" s="1107" t="s">
        <v>5068</v>
      </c>
      <c r="B8" s="1107"/>
      <c r="C8" s="1107"/>
      <c r="D8" s="1107"/>
      <c r="E8" s="1107"/>
      <c r="F8" s="1107"/>
      <c r="G8" s="1107"/>
      <c r="H8" s="1107"/>
      <c r="I8" s="1107"/>
      <c r="J8" s="1107"/>
      <c r="K8" s="1107"/>
      <c r="L8" s="1107"/>
      <c r="M8" s="1107"/>
      <c r="N8" s="1107"/>
      <c r="O8" s="1107"/>
      <c r="P8" s="1107"/>
      <c r="Q8" s="1107"/>
      <c r="R8" s="1107"/>
      <c r="S8" s="1107"/>
      <c r="T8" s="1107"/>
      <c r="U8" s="1107"/>
      <c r="V8" s="1107"/>
      <c r="W8" s="1107"/>
      <c r="X8" s="1107"/>
      <c r="Y8" s="1107"/>
      <c r="Z8" s="1107"/>
      <c r="AA8" s="1107"/>
      <c r="AB8" s="1107"/>
      <c r="AC8" s="1107"/>
    </row>
    <row r="9" spans="1:35" ht="2.25" customHeight="1" x14ac:dyDescent="0.25">
      <c r="A9" s="1115" t="s">
        <v>3682</v>
      </c>
      <c r="B9" s="1115" t="s">
        <v>3683</v>
      </c>
      <c r="C9" s="1115" t="s">
        <v>3684</v>
      </c>
      <c r="D9" s="1117" t="s">
        <v>4827</v>
      </c>
      <c r="E9" s="1119" t="s">
        <v>4867</v>
      </c>
      <c r="F9" s="1113" t="s">
        <v>4829</v>
      </c>
      <c r="G9" s="1117" t="s">
        <v>4828</v>
      </c>
      <c r="H9" s="1119" t="s">
        <v>4830</v>
      </c>
      <c r="I9" s="1113" t="s">
        <v>4831</v>
      </c>
      <c r="J9" s="1119" t="s">
        <v>4832</v>
      </c>
      <c r="K9" s="1119" t="s">
        <v>4833</v>
      </c>
      <c r="L9" s="1113" t="s">
        <v>4859</v>
      </c>
      <c r="M9" s="688"/>
      <c r="N9" s="688"/>
      <c r="O9" s="688"/>
      <c r="P9" s="743"/>
      <c r="Q9" s="1113" t="s">
        <v>4836</v>
      </c>
      <c r="R9" s="1113" t="s">
        <v>4837</v>
      </c>
      <c r="S9" s="1113" t="s">
        <v>4838</v>
      </c>
      <c r="T9" s="1113" t="s">
        <v>5022</v>
      </c>
      <c r="U9" s="1113" t="s">
        <v>5045</v>
      </c>
      <c r="V9" s="1113" t="s">
        <v>5046</v>
      </c>
      <c r="W9" s="1113" t="s">
        <v>5055</v>
      </c>
      <c r="X9" s="1113" t="s">
        <v>5059</v>
      </c>
      <c r="Y9" s="1113" t="s">
        <v>5056</v>
      </c>
      <c r="Z9" s="750"/>
      <c r="AA9" s="1111" t="s">
        <v>4112</v>
      </c>
      <c r="AB9" s="1111" t="s">
        <v>4834</v>
      </c>
      <c r="AC9" s="1111" t="s">
        <v>4835</v>
      </c>
    </row>
    <row r="10" spans="1:35" ht="86.25" customHeight="1" x14ac:dyDescent="0.25">
      <c r="A10" s="1116"/>
      <c r="B10" s="1116"/>
      <c r="C10" s="1116"/>
      <c r="D10" s="1118"/>
      <c r="E10" s="1120"/>
      <c r="F10" s="1114"/>
      <c r="G10" s="1121"/>
      <c r="H10" s="1120"/>
      <c r="I10" s="1114"/>
      <c r="J10" s="1120"/>
      <c r="K10" s="1120"/>
      <c r="L10" s="1114"/>
      <c r="M10" s="689" t="s">
        <v>5087</v>
      </c>
      <c r="N10" s="689" t="s">
        <v>5088</v>
      </c>
      <c r="O10" s="689" t="s">
        <v>5089</v>
      </c>
      <c r="P10" s="744" t="s">
        <v>5471</v>
      </c>
      <c r="Q10" s="1114"/>
      <c r="R10" s="1114"/>
      <c r="S10" s="1114"/>
      <c r="T10" s="1114"/>
      <c r="U10" s="1114"/>
      <c r="V10" s="1114"/>
      <c r="W10" s="1114"/>
      <c r="X10" s="1114"/>
      <c r="Y10" s="1114"/>
      <c r="Z10" s="756" t="s">
        <v>5500</v>
      </c>
      <c r="AA10" s="1112"/>
      <c r="AB10" s="1112"/>
      <c r="AC10" s="1112"/>
      <c r="AE10" s="692" t="s">
        <v>4218</v>
      </c>
      <c r="AF10" s="693"/>
      <c r="AG10" s="694" t="s">
        <v>25</v>
      </c>
      <c r="AH10" s="694" t="s">
        <v>3759</v>
      </c>
      <c r="AI10" s="694" t="s">
        <v>3763</v>
      </c>
    </row>
    <row r="11" spans="1:35" ht="24" x14ac:dyDescent="0.25">
      <c r="A11" s="496" t="s">
        <v>5067</v>
      </c>
      <c r="B11" s="497"/>
      <c r="C11" s="496" t="s">
        <v>3685</v>
      </c>
      <c r="D11" s="498"/>
      <c r="E11" s="499"/>
      <c r="F11" s="500"/>
      <c r="G11" s="464"/>
      <c r="H11" s="464"/>
      <c r="I11" s="465"/>
      <c r="J11" s="498"/>
      <c r="K11" s="498"/>
      <c r="L11" s="464"/>
      <c r="M11" s="498"/>
      <c r="N11" s="498"/>
      <c r="O11" s="498"/>
      <c r="P11" s="498"/>
      <c r="Q11" s="498"/>
      <c r="R11" s="498"/>
      <c r="S11" s="498"/>
      <c r="T11" s="498">
        <f>SUM(T12:T13)</f>
        <v>1608508.29</v>
      </c>
      <c r="U11" s="498">
        <f>SUM(U12:U13)</f>
        <v>3039139.86</v>
      </c>
      <c r="V11" s="541">
        <f>SUM(V13)</f>
        <v>3.9262240124945542</v>
      </c>
      <c r="W11" s="541"/>
      <c r="X11" s="541"/>
      <c r="Y11" s="541"/>
      <c r="Z11" s="541"/>
      <c r="AA11" s="501">
        <f>SUM(AA12:AA13)</f>
        <v>1608508.29</v>
      </c>
      <c r="AB11" s="501">
        <f>SUM(AB12:AB13)</f>
        <v>3039139.86</v>
      </c>
      <c r="AC11" s="542">
        <f>SUM(AC13)</f>
        <v>3.9262240124945542</v>
      </c>
      <c r="AE11" s="693"/>
      <c r="AF11" s="693" t="s">
        <v>3685</v>
      </c>
      <c r="AG11" s="695">
        <f>D11</f>
        <v>0</v>
      </c>
      <c r="AH11" s="695">
        <f>G11</f>
        <v>0</v>
      </c>
      <c r="AI11" s="695">
        <f>AA11</f>
        <v>1608508.29</v>
      </c>
    </row>
    <row r="12" spans="1:35" x14ac:dyDescent="0.25">
      <c r="A12" s="535"/>
      <c r="B12" s="574" t="s">
        <v>5040</v>
      </c>
      <c r="C12" s="535"/>
      <c r="D12" s="568"/>
      <c r="E12" s="569"/>
      <c r="F12" s="570"/>
      <c r="G12" s="571"/>
      <c r="H12" s="571"/>
      <c r="I12" s="572"/>
      <c r="J12" s="568"/>
      <c r="K12" s="568"/>
      <c r="L12" s="571"/>
      <c r="M12" s="568"/>
      <c r="N12" s="568"/>
      <c r="O12" s="568"/>
      <c r="P12" s="568"/>
      <c r="Q12" s="568"/>
      <c r="R12" s="568"/>
      <c r="S12" s="568"/>
      <c r="T12" s="568">
        <v>1000000</v>
      </c>
      <c r="U12" s="568">
        <v>650000</v>
      </c>
      <c r="V12" s="573">
        <f>SUM(V14)</f>
        <v>0</v>
      </c>
      <c r="W12" s="568"/>
      <c r="X12" s="568"/>
      <c r="Y12" s="568"/>
      <c r="Z12" s="568"/>
      <c r="AA12" s="568">
        <f>SUM(T12)</f>
        <v>1000000</v>
      </c>
      <c r="AB12" s="568">
        <f>U12</f>
        <v>650000</v>
      </c>
      <c r="AC12" s="573">
        <f t="shared" ref="AC12:AC17" si="0">AB12/AA12</f>
        <v>0.65</v>
      </c>
      <c r="AE12" s="693"/>
      <c r="AF12" s="693"/>
      <c r="AG12" s="695"/>
      <c r="AH12" s="695"/>
      <c r="AI12" s="695"/>
    </row>
    <row r="13" spans="1:35" x14ac:dyDescent="0.25">
      <c r="A13" s="535"/>
      <c r="B13" s="574" t="s">
        <v>5066</v>
      </c>
      <c r="C13" s="535"/>
      <c r="D13" s="536"/>
      <c r="E13" s="537"/>
      <c r="F13" s="538"/>
      <c r="G13" s="539"/>
      <c r="H13" s="539"/>
      <c r="I13" s="540"/>
      <c r="J13" s="536"/>
      <c r="K13" s="536"/>
      <c r="L13" s="539"/>
      <c r="M13" s="536"/>
      <c r="N13" s="536"/>
      <c r="O13" s="536"/>
      <c r="P13" s="536"/>
      <c r="Q13" s="536"/>
      <c r="R13" s="536"/>
      <c r="S13" s="536"/>
      <c r="T13" s="568">
        <v>608508.29</v>
      </c>
      <c r="U13" s="568">
        <f>3039139.86-650000</f>
        <v>2389139.86</v>
      </c>
      <c r="V13" s="578">
        <f>U13/T13</f>
        <v>3.9262240124945542</v>
      </c>
      <c r="W13" s="536"/>
      <c r="X13" s="536"/>
      <c r="Y13" s="536"/>
      <c r="Z13" s="536"/>
      <c r="AA13" s="568">
        <f>SUM(T13)</f>
        <v>608508.29</v>
      </c>
      <c r="AB13" s="568">
        <f>U13</f>
        <v>2389139.86</v>
      </c>
      <c r="AC13" s="543">
        <f t="shared" si="0"/>
        <v>3.9262240124945542</v>
      </c>
      <c r="AE13" s="693"/>
      <c r="AF13" s="693"/>
      <c r="AG13" s="695"/>
      <c r="AH13" s="695"/>
      <c r="AI13" s="695"/>
    </row>
    <row r="14" spans="1:35" x14ac:dyDescent="0.25">
      <c r="A14" s="502" t="s">
        <v>2206</v>
      </c>
      <c r="B14" s="503"/>
      <c r="C14" s="504" t="s">
        <v>3686</v>
      </c>
      <c r="D14" s="464">
        <f>SUM(D15,D58,D70,D112,D115)</f>
        <v>417859748.81</v>
      </c>
      <c r="E14" s="472">
        <f>SUM(E15,E58,E70,E112,E115)</f>
        <v>272222582.92999995</v>
      </c>
      <c r="F14" s="473">
        <f>E14/D14</f>
        <v>0.65146878517313001</v>
      </c>
      <c r="G14" s="464">
        <f>SUM(G15,G58,G70,G112,G115)</f>
        <v>827000</v>
      </c>
      <c r="H14" s="464">
        <f>SUM(H15,H58,H70,H112)</f>
        <v>574890.43000000005</v>
      </c>
      <c r="I14" s="465">
        <f>H14/G14</f>
        <v>0.69515166868198308</v>
      </c>
      <c r="J14" s="464">
        <f>SUM(J15,J58,J70,J112,J115)</f>
        <v>75844473.390000001</v>
      </c>
      <c r="K14" s="464">
        <f>SUM(K15,K58,K70,K112,K115)</f>
        <v>35198581.409999996</v>
      </c>
      <c r="L14" s="465">
        <f>K14/J14</f>
        <v>0.46408894197215017</v>
      </c>
      <c r="M14" s="467">
        <f>SUM(M58)</f>
        <v>7900000</v>
      </c>
      <c r="N14" s="467">
        <f>SUM(N58)</f>
        <v>3609824.11</v>
      </c>
      <c r="O14" s="466">
        <f>N14/M14</f>
        <v>0.45693976075949366</v>
      </c>
      <c r="P14" s="466"/>
      <c r="Q14" s="464">
        <f>SUM(Q15,Q58,Q70,Q112,Q115)</f>
        <v>0</v>
      </c>
      <c r="R14" s="464">
        <f>SUM(R15,R58,R70,R112,R115)</f>
        <v>0</v>
      </c>
      <c r="S14" s="464"/>
      <c r="T14" s="467"/>
      <c r="U14" s="467"/>
      <c r="V14" s="467"/>
      <c r="W14" s="467">
        <f>SUM(W15,W58,W70,W112,W115,W108)</f>
        <v>1327000</v>
      </c>
      <c r="X14" s="467">
        <f>SUM(X15,X58,X70,X112,X115,X108)</f>
        <v>865502.06</v>
      </c>
      <c r="Y14" s="467"/>
      <c r="Z14" s="467"/>
      <c r="AA14" s="467">
        <f>SUM(AA15,AA58,AA70,AA112,AA115)</f>
        <v>505368222.19999999</v>
      </c>
      <c r="AB14" s="467">
        <f>SUM(AB15,AB58,AB70,AB112,AB115)</f>
        <v>312471380.93999994</v>
      </c>
      <c r="AC14" s="466">
        <f t="shared" si="0"/>
        <v>0.61830437137446104</v>
      </c>
      <c r="AE14" s="696"/>
      <c r="AF14" s="693" t="s">
        <v>4216</v>
      </c>
      <c r="AG14" s="697">
        <f>D27+D35+D36+D37+D46+D47+D52+D53+D54+D56+D60+D72+D74+D79+D80+D81+D82+D83+D87+D88+D91+D93+D94+D96+D101+D103+D104+D107+D109+D111</f>
        <v>74060382</v>
      </c>
      <c r="AH14" s="697">
        <f>G27+G35+G36+G37+G46+G47+G52+G53+G54+G56+G60+G72+G74+G79+G80+G81+G82+G83+G87+G88+G91+G93+G94+G96+G101+G103+G104+G107+G109+G111</f>
        <v>0</v>
      </c>
      <c r="AI14" s="697">
        <f>AA27+AA35+AA36+AA37+AA46+AA47+AA52+AA53+AA54+AA56+AA60+AA72+AA74+AA79+AA80+AA81+AA82+AA83+AA87+AA88+AA91+AA93+AA94+AA96+AA101+AA103+AA104+AA107+AA109+AA111</f>
        <v>81960382</v>
      </c>
    </row>
    <row r="15" spans="1:35" x14ac:dyDescent="0.25">
      <c r="A15" s="505">
        <v>710000</v>
      </c>
      <c r="B15" s="505"/>
      <c r="C15" s="506" t="s">
        <v>3687</v>
      </c>
      <c r="D15" s="487">
        <f>SUM(D16,D32,D34,D44,D55)</f>
        <v>191876432.81</v>
      </c>
      <c r="E15" s="488">
        <f>SUM(E16,E32,E34,E44,E55)</f>
        <v>109632722.40999997</v>
      </c>
      <c r="F15" s="489">
        <f>E15/D15</f>
        <v>0.57137148530669502</v>
      </c>
      <c r="G15" s="487">
        <f>SUM(G16,G32,G34,G44,G55)</f>
        <v>0</v>
      </c>
      <c r="H15" s="487">
        <f>SUM(H16,H32,H34,H44,H55)</f>
        <v>0</v>
      </c>
      <c r="I15" s="490"/>
      <c r="J15" s="487">
        <f>SUM(J16,J32,J34,J44,J55)</f>
        <v>0</v>
      </c>
      <c r="K15" s="487">
        <f>SUM(K16,K32,K34,K44,K55)</f>
        <v>0</v>
      </c>
      <c r="L15" s="487"/>
      <c r="M15" s="491"/>
      <c r="N15" s="491"/>
      <c r="O15" s="491"/>
      <c r="P15" s="491"/>
      <c r="Q15" s="487">
        <f>SUM(Q16,Q32,Q34,Q44,Q55)</f>
        <v>0</v>
      </c>
      <c r="R15" s="487">
        <f>SUM(R16,R32,R34,R44,R55)</f>
        <v>0</v>
      </c>
      <c r="S15" s="487"/>
      <c r="T15" s="491"/>
      <c r="U15" s="491"/>
      <c r="V15" s="491"/>
      <c r="W15" s="491"/>
      <c r="X15" s="491"/>
      <c r="Y15" s="491"/>
      <c r="Z15" s="491"/>
      <c r="AA15" s="491">
        <f>SUM(AA16,AA32,AA34,AA44,AA55)</f>
        <v>191876432.81</v>
      </c>
      <c r="AB15" s="491">
        <f>SUM(AB16,AB32,AB34,AB44,AB55)</f>
        <v>109632722.40999997</v>
      </c>
      <c r="AC15" s="544">
        <f t="shared" si="0"/>
        <v>0.57137148530669502</v>
      </c>
      <c r="AE15" s="698"/>
      <c r="AF15" s="693" t="s">
        <v>4217</v>
      </c>
      <c r="AG15" s="697">
        <f>D17+D18+D19+D20+D22+D21+D23+D24+D25+D26+D31+D38+D39+D41+D40+D42+D43+D45+D49+D51+D75+D76+D84+D85+D92+D99+D114</f>
        <v>125980375.81</v>
      </c>
      <c r="AH15" s="697">
        <f>G17+G18+G19+G20+G22+G21+G23+G24+G25+G26+G31+G38+G39+G41+G40+G42+G43+G45+G49+G51+G75+G76+G84+G85+G92+G99+G114</f>
        <v>0</v>
      </c>
      <c r="AI15" s="697">
        <f>AA17+AA18+AA19+AA20+AA22+AA21+AA23+AA24+AA25+AA26+AA31+AA38+AA39+AA41+AA40+AA42+AA43+AA45+AA49+AA51+AA75+AA76+AA84+AA85+AA92+AA99+AA114</f>
        <v>125980375.81</v>
      </c>
    </row>
    <row r="16" spans="1:35" ht="24" x14ac:dyDescent="0.25">
      <c r="A16" s="492">
        <v>711000</v>
      </c>
      <c r="B16" s="493"/>
      <c r="C16" s="494" t="s">
        <v>3688</v>
      </c>
      <c r="D16" s="479">
        <f>SUM(D17:D31)</f>
        <v>114453829.81</v>
      </c>
      <c r="E16" s="353">
        <f>SUM(E17:E31)</f>
        <v>74668271.619999975</v>
      </c>
      <c r="F16" s="340">
        <f>E16/D16</f>
        <v>0.65238770728732831</v>
      </c>
      <c r="G16" s="479">
        <f>SUM(G17:G31)</f>
        <v>0</v>
      </c>
      <c r="H16" s="479">
        <f>SUM(H17:H31)</f>
        <v>0</v>
      </c>
      <c r="I16" s="480"/>
      <c r="J16" s="479">
        <f>SUM(J17:J31)</f>
        <v>0</v>
      </c>
      <c r="K16" s="479">
        <f>SUM(K17:K31)</f>
        <v>0</v>
      </c>
      <c r="L16" s="479"/>
      <c r="M16" s="482"/>
      <c r="N16" s="482"/>
      <c r="O16" s="482"/>
      <c r="P16" s="482"/>
      <c r="Q16" s="479">
        <f>SUM(Q17:Q31)</f>
        <v>0</v>
      </c>
      <c r="R16" s="479">
        <f>SUM(R17:R31)</f>
        <v>0</v>
      </c>
      <c r="S16" s="479"/>
      <c r="T16" s="482"/>
      <c r="U16" s="482"/>
      <c r="V16" s="482"/>
      <c r="W16" s="482"/>
      <c r="X16" s="482"/>
      <c r="Y16" s="482"/>
      <c r="Z16" s="482"/>
      <c r="AA16" s="482">
        <f>SUM(AA17:AA31)</f>
        <v>114453829.81</v>
      </c>
      <c r="AB16" s="482">
        <f>SUM(AB17:AB31)</f>
        <v>74668271.619999975</v>
      </c>
      <c r="AC16" s="481">
        <f t="shared" si="0"/>
        <v>0.65238770728732831</v>
      </c>
      <c r="AE16" s="699"/>
      <c r="AF16" s="699" t="s">
        <v>56</v>
      </c>
      <c r="AG16" s="697">
        <f>SUM(D63:D69)</f>
        <v>198117049</v>
      </c>
      <c r="AH16" s="697">
        <f>SUM(G63:G69)</f>
        <v>0</v>
      </c>
      <c r="AI16" s="697">
        <f>SUM(AA63:AA69)</f>
        <v>273961522.38999999</v>
      </c>
    </row>
    <row r="17" spans="1:35" x14ac:dyDescent="0.25">
      <c r="A17" s="446"/>
      <c r="B17" s="446">
        <v>711111</v>
      </c>
      <c r="C17" s="447" t="s">
        <v>3689</v>
      </c>
      <c r="D17" s="434">
        <f>77125420+3000000+6526007+1300000+100000+3734600.81+100000</f>
        <v>91886027.810000002</v>
      </c>
      <c r="E17" s="700">
        <v>61065513.409999996</v>
      </c>
      <c r="F17" s="701">
        <f>E17/D17</f>
        <v>0.66457887956882822</v>
      </c>
      <c r="G17" s="434"/>
      <c r="H17" s="434"/>
      <c r="I17" s="448"/>
      <c r="J17" s="434"/>
      <c r="K17" s="434"/>
      <c r="L17" s="434"/>
      <c r="M17" s="435"/>
      <c r="N17" s="435"/>
      <c r="O17" s="435"/>
      <c r="P17" s="435"/>
      <c r="Q17" s="434"/>
      <c r="R17" s="434"/>
      <c r="S17" s="434"/>
      <c r="T17" s="435"/>
      <c r="U17" s="435"/>
      <c r="V17" s="435"/>
      <c r="W17" s="435"/>
      <c r="X17" s="435"/>
      <c r="Y17" s="435"/>
      <c r="Z17" s="435"/>
      <c r="AA17" s="435">
        <f>SUM(G17,D17,J17,M17,W17)</f>
        <v>91886027.810000002</v>
      </c>
      <c r="AB17" s="348">
        <f>SUM(H17,E17,K17,R17)</f>
        <v>61065513.409999996</v>
      </c>
      <c r="AC17" s="356">
        <f t="shared" si="0"/>
        <v>0.66457887956882822</v>
      </c>
      <c r="AE17" s="693"/>
      <c r="AF17" s="693" t="s">
        <v>58</v>
      </c>
      <c r="AG17" s="697">
        <f>SUM(D118)</f>
        <v>0</v>
      </c>
      <c r="AH17" s="697">
        <f>SUM(G118)</f>
        <v>0</v>
      </c>
      <c r="AI17" s="697">
        <f>SUM(AA118)</f>
        <v>28427</v>
      </c>
    </row>
    <row r="18" spans="1:35" ht="48" x14ac:dyDescent="0.25">
      <c r="A18" s="446"/>
      <c r="B18" s="446">
        <v>711121</v>
      </c>
      <c r="C18" s="447" t="s">
        <v>3690</v>
      </c>
      <c r="D18" s="434">
        <v>302190</v>
      </c>
      <c r="E18" s="700">
        <v>142236</v>
      </c>
      <c r="F18" s="701">
        <f t="shared" ref="F18:F84" si="1">E18/D18</f>
        <v>0.47068400675071975</v>
      </c>
      <c r="G18" s="434"/>
      <c r="H18" s="434"/>
      <c r="I18" s="448"/>
      <c r="J18" s="434"/>
      <c r="K18" s="434"/>
      <c r="L18" s="434"/>
      <c r="M18" s="435"/>
      <c r="N18" s="435"/>
      <c r="O18" s="435"/>
      <c r="P18" s="435"/>
      <c r="Q18" s="434"/>
      <c r="R18" s="434"/>
      <c r="S18" s="434"/>
      <c r="T18" s="435"/>
      <c r="U18" s="435"/>
      <c r="V18" s="435"/>
      <c r="W18" s="435"/>
      <c r="X18" s="435"/>
      <c r="Y18" s="435"/>
      <c r="Z18" s="435"/>
      <c r="AA18" s="435">
        <f t="shared" ref="AA18:AA31" si="2">SUM(G18,D18,J18,M18,W18)</f>
        <v>302190</v>
      </c>
      <c r="AB18" s="348">
        <f t="shared" ref="AB18:AB31" si="3">SUM(H18,E18,K18,R18)</f>
        <v>142236</v>
      </c>
      <c r="AC18" s="356">
        <f t="shared" ref="AC18:AC31" si="4">AB18/AA18</f>
        <v>0.47068400675071975</v>
      </c>
      <c r="AE18" s="693"/>
      <c r="AF18" s="693" t="s">
        <v>13</v>
      </c>
      <c r="AG18" s="702">
        <f>SUM(D125)</f>
        <v>0</v>
      </c>
      <c r="AH18" s="702">
        <f>SUM(G125)</f>
        <v>0</v>
      </c>
      <c r="AI18" s="702">
        <f>SUM(AA125)</f>
        <v>17529792</v>
      </c>
    </row>
    <row r="19" spans="1:35" ht="48" x14ac:dyDescent="0.25">
      <c r="A19" s="446"/>
      <c r="B19" s="446">
        <v>711122</v>
      </c>
      <c r="C19" s="447" t="s">
        <v>3691</v>
      </c>
      <c r="D19" s="434">
        <f>5306569+1800000+380000</f>
        <v>7486569</v>
      </c>
      <c r="E19" s="700">
        <v>4373864.4400000004</v>
      </c>
      <c r="F19" s="701">
        <f t="shared" si="1"/>
        <v>0.58422816112427478</v>
      </c>
      <c r="G19" s="434"/>
      <c r="H19" s="434"/>
      <c r="I19" s="448"/>
      <c r="J19" s="434"/>
      <c r="K19" s="434"/>
      <c r="L19" s="434"/>
      <c r="M19" s="435"/>
      <c r="N19" s="435"/>
      <c r="O19" s="435"/>
      <c r="P19" s="435"/>
      <c r="Q19" s="434"/>
      <c r="R19" s="434"/>
      <c r="S19" s="434"/>
      <c r="T19" s="435"/>
      <c r="U19" s="435"/>
      <c r="V19" s="435"/>
      <c r="W19" s="435"/>
      <c r="X19" s="435"/>
      <c r="Y19" s="435"/>
      <c r="Z19" s="435"/>
      <c r="AA19" s="435">
        <f t="shared" si="2"/>
        <v>7486569</v>
      </c>
      <c r="AB19" s="348">
        <f t="shared" si="3"/>
        <v>4373864.4400000004</v>
      </c>
      <c r="AC19" s="356">
        <f t="shared" si="4"/>
        <v>0.58422816112427478</v>
      </c>
      <c r="AE19" s="693"/>
      <c r="AF19" s="703" t="s">
        <v>4110</v>
      </c>
      <c r="AG19" s="704">
        <f>SUM(AG11:AG18)</f>
        <v>398157806.81</v>
      </c>
      <c r="AH19" s="704">
        <f>SUM(AH11:AH18)</f>
        <v>0</v>
      </c>
      <c r="AI19" s="704">
        <f>SUM(AI11:AI18)</f>
        <v>501069007.49000001</v>
      </c>
    </row>
    <row r="20" spans="1:35" ht="36" x14ac:dyDescent="0.25">
      <c r="A20" s="446"/>
      <c r="B20" s="446">
        <v>711123</v>
      </c>
      <c r="C20" s="447" t="s">
        <v>3751</v>
      </c>
      <c r="D20" s="434">
        <f>4884157+560000+351000</f>
        <v>5795157</v>
      </c>
      <c r="E20" s="700">
        <v>3924094.56</v>
      </c>
      <c r="F20" s="701">
        <f t="shared" si="1"/>
        <v>0.67713343400359993</v>
      </c>
      <c r="G20" s="434"/>
      <c r="H20" s="434"/>
      <c r="I20" s="448"/>
      <c r="J20" s="434"/>
      <c r="K20" s="434"/>
      <c r="L20" s="434"/>
      <c r="M20" s="435"/>
      <c r="N20" s="435"/>
      <c r="O20" s="435"/>
      <c r="P20" s="435"/>
      <c r="Q20" s="434"/>
      <c r="R20" s="434"/>
      <c r="S20" s="434"/>
      <c r="T20" s="435"/>
      <c r="U20" s="435"/>
      <c r="V20" s="435"/>
      <c r="W20" s="435"/>
      <c r="X20" s="435"/>
      <c r="Y20" s="435"/>
      <c r="Z20" s="435"/>
      <c r="AA20" s="435">
        <f t="shared" si="2"/>
        <v>5795157</v>
      </c>
      <c r="AB20" s="348">
        <f t="shared" si="3"/>
        <v>3924094.56</v>
      </c>
      <c r="AC20" s="356">
        <f t="shared" si="4"/>
        <v>0.67713343400359993</v>
      </c>
      <c r="AG20" s="705">
        <f>D134-AG19</f>
        <v>19701942</v>
      </c>
      <c r="AH20" s="705">
        <f>G134-AH19</f>
        <v>827000</v>
      </c>
      <c r="AI20" s="705">
        <f>AA134-AI19</f>
        <v>23465942</v>
      </c>
    </row>
    <row r="21" spans="1:35" x14ac:dyDescent="0.25">
      <c r="A21" s="446"/>
      <c r="B21" s="446">
        <v>711143</v>
      </c>
      <c r="C21" s="447" t="s">
        <v>3692</v>
      </c>
      <c r="D21" s="434"/>
      <c r="E21" s="700">
        <v>0</v>
      </c>
      <c r="F21" s="701">
        <v>0</v>
      </c>
      <c r="G21" s="434"/>
      <c r="H21" s="434"/>
      <c r="I21" s="448"/>
      <c r="J21" s="434"/>
      <c r="K21" s="434"/>
      <c r="L21" s="434"/>
      <c r="M21" s="435"/>
      <c r="N21" s="435"/>
      <c r="O21" s="435"/>
      <c r="P21" s="435"/>
      <c r="Q21" s="434"/>
      <c r="R21" s="434"/>
      <c r="S21" s="434"/>
      <c r="T21" s="435"/>
      <c r="U21" s="435"/>
      <c r="V21" s="435"/>
      <c r="W21" s="435"/>
      <c r="X21" s="435"/>
      <c r="Y21" s="435"/>
      <c r="Z21" s="435"/>
      <c r="AA21" s="435">
        <f t="shared" si="2"/>
        <v>0</v>
      </c>
      <c r="AB21" s="348">
        <f t="shared" si="3"/>
        <v>0</v>
      </c>
      <c r="AC21" s="356"/>
    </row>
    <row r="22" spans="1:35" ht="43.5" customHeight="1" x14ac:dyDescent="0.25">
      <c r="A22" s="446"/>
      <c r="B22" s="446">
        <v>711145</v>
      </c>
      <c r="C22" s="447" t="s">
        <v>3752</v>
      </c>
      <c r="D22" s="434">
        <v>128704</v>
      </c>
      <c r="E22" s="700">
        <v>112317.49</v>
      </c>
      <c r="F22" s="701">
        <f t="shared" si="1"/>
        <v>0.87268064706613624</v>
      </c>
      <c r="G22" s="434"/>
      <c r="H22" s="434"/>
      <c r="I22" s="448"/>
      <c r="J22" s="434"/>
      <c r="K22" s="434"/>
      <c r="L22" s="434"/>
      <c r="M22" s="435"/>
      <c r="N22" s="435"/>
      <c r="O22" s="435"/>
      <c r="P22" s="435"/>
      <c r="Q22" s="434"/>
      <c r="R22" s="434"/>
      <c r="S22" s="434"/>
      <c r="T22" s="435"/>
      <c r="U22" s="435"/>
      <c r="V22" s="435"/>
      <c r="W22" s="435"/>
      <c r="X22" s="435"/>
      <c r="Y22" s="435"/>
      <c r="Z22" s="435"/>
      <c r="AA22" s="435">
        <f t="shared" si="2"/>
        <v>128704</v>
      </c>
      <c r="AB22" s="348">
        <f t="shared" si="3"/>
        <v>112317.49</v>
      </c>
      <c r="AC22" s="356">
        <f t="shared" si="4"/>
        <v>0.87268064706613624</v>
      </c>
    </row>
    <row r="23" spans="1:35" ht="24" x14ac:dyDescent="0.25">
      <c r="A23" s="446"/>
      <c r="B23" s="446">
        <v>711146</v>
      </c>
      <c r="C23" s="447" t="s">
        <v>3693</v>
      </c>
      <c r="D23" s="434">
        <v>12503</v>
      </c>
      <c r="E23" s="700">
        <v>2830</v>
      </c>
      <c r="F23" s="701">
        <f t="shared" si="1"/>
        <v>0.22634567703751099</v>
      </c>
      <c r="G23" s="434"/>
      <c r="H23" s="434"/>
      <c r="I23" s="448"/>
      <c r="J23" s="434"/>
      <c r="K23" s="434"/>
      <c r="L23" s="434"/>
      <c r="M23" s="435"/>
      <c r="N23" s="435"/>
      <c r="O23" s="435"/>
      <c r="P23" s="435"/>
      <c r="Q23" s="434"/>
      <c r="R23" s="434"/>
      <c r="S23" s="434"/>
      <c r="T23" s="435"/>
      <c r="U23" s="435"/>
      <c r="V23" s="435"/>
      <c r="W23" s="435"/>
      <c r="X23" s="435"/>
      <c r="Y23" s="435"/>
      <c r="Z23" s="435"/>
      <c r="AA23" s="435">
        <f t="shared" si="2"/>
        <v>12503</v>
      </c>
      <c r="AB23" s="348">
        <f t="shared" si="3"/>
        <v>2830</v>
      </c>
      <c r="AC23" s="356">
        <f t="shared" si="4"/>
        <v>0.22634567703751099</v>
      </c>
    </row>
    <row r="24" spans="1:35" x14ac:dyDescent="0.25">
      <c r="A24" s="446"/>
      <c r="B24" s="446">
        <v>711147</v>
      </c>
      <c r="C24" s="447" t="s">
        <v>3694</v>
      </c>
      <c r="D24" s="434">
        <v>4108</v>
      </c>
      <c r="E24" s="700">
        <v>3613.19</v>
      </c>
      <c r="F24" s="701">
        <f t="shared" si="1"/>
        <v>0.87954965920155792</v>
      </c>
      <c r="G24" s="434"/>
      <c r="H24" s="434"/>
      <c r="I24" s="448"/>
      <c r="J24" s="434"/>
      <c r="K24" s="434"/>
      <c r="L24" s="434"/>
      <c r="M24" s="435"/>
      <c r="N24" s="435"/>
      <c r="O24" s="435"/>
      <c r="P24" s="435"/>
      <c r="Q24" s="434"/>
      <c r="R24" s="434"/>
      <c r="S24" s="434"/>
      <c r="T24" s="435"/>
      <c r="U24" s="435"/>
      <c r="V24" s="435"/>
      <c r="W24" s="435"/>
      <c r="X24" s="435"/>
      <c r="Y24" s="435"/>
      <c r="Z24" s="435"/>
      <c r="AA24" s="435">
        <f t="shared" si="2"/>
        <v>4108</v>
      </c>
      <c r="AB24" s="348">
        <f t="shared" si="3"/>
        <v>3613.19</v>
      </c>
      <c r="AC24" s="356">
        <f t="shared" si="4"/>
        <v>0.87954965920155792</v>
      </c>
    </row>
    <row r="25" spans="1:35" ht="24" hidden="1" x14ac:dyDescent="0.25">
      <c r="A25" s="446"/>
      <c r="B25" s="446">
        <v>711148</v>
      </c>
      <c r="C25" s="447" t="s">
        <v>3695</v>
      </c>
      <c r="D25" s="434"/>
      <c r="E25" s="700">
        <v>0</v>
      </c>
      <c r="F25" s="701" t="e">
        <f t="shared" si="1"/>
        <v>#DIV/0!</v>
      </c>
      <c r="G25" s="434"/>
      <c r="H25" s="434"/>
      <c r="I25" s="448"/>
      <c r="J25" s="434"/>
      <c r="K25" s="434"/>
      <c r="L25" s="434"/>
      <c r="M25" s="435"/>
      <c r="N25" s="435"/>
      <c r="O25" s="435"/>
      <c r="P25" s="435"/>
      <c r="Q25" s="434"/>
      <c r="R25" s="434"/>
      <c r="S25" s="434"/>
      <c r="T25" s="435"/>
      <c r="U25" s="435"/>
      <c r="V25" s="435"/>
      <c r="W25" s="435"/>
      <c r="X25" s="435"/>
      <c r="Y25" s="435"/>
      <c r="Z25" s="435"/>
      <c r="AA25" s="435">
        <f t="shared" si="2"/>
        <v>0</v>
      </c>
      <c r="AB25" s="348">
        <f t="shared" si="3"/>
        <v>0</v>
      </c>
      <c r="AC25" s="356"/>
    </row>
    <row r="26" spans="1:35" hidden="1" x14ac:dyDescent="0.25">
      <c r="A26" s="446"/>
      <c r="B26" s="446">
        <v>711161</v>
      </c>
      <c r="C26" s="447" t="s">
        <v>3696</v>
      </c>
      <c r="D26" s="434"/>
      <c r="E26" s="700">
        <v>0</v>
      </c>
      <c r="F26" s="701" t="e">
        <f t="shared" si="1"/>
        <v>#DIV/0!</v>
      </c>
      <c r="G26" s="434"/>
      <c r="H26" s="434"/>
      <c r="I26" s="448"/>
      <c r="J26" s="434"/>
      <c r="K26" s="434"/>
      <c r="L26" s="434"/>
      <c r="M26" s="435"/>
      <c r="N26" s="435"/>
      <c r="O26" s="435"/>
      <c r="P26" s="435"/>
      <c r="Q26" s="434"/>
      <c r="R26" s="434"/>
      <c r="S26" s="434"/>
      <c r="T26" s="435"/>
      <c r="U26" s="435"/>
      <c r="V26" s="435"/>
      <c r="W26" s="435"/>
      <c r="X26" s="435"/>
      <c r="Y26" s="435"/>
      <c r="Z26" s="435"/>
      <c r="AA26" s="435">
        <f t="shared" si="2"/>
        <v>0</v>
      </c>
      <c r="AB26" s="348">
        <f t="shared" si="3"/>
        <v>0</v>
      </c>
      <c r="AC26" s="356"/>
    </row>
    <row r="27" spans="1:35" ht="24" hidden="1" x14ac:dyDescent="0.25">
      <c r="A27" s="446"/>
      <c r="B27" s="446">
        <v>711181</v>
      </c>
      <c r="C27" s="447" t="s">
        <v>4819</v>
      </c>
      <c r="D27" s="434"/>
      <c r="E27" s="700">
        <v>0</v>
      </c>
      <c r="F27" s="701" t="e">
        <f t="shared" si="1"/>
        <v>#DIV/0!</v>
      </c>
      <c r="G27" s="434"/>
      <c r="H27" s="434"/>
      <c r="I27" s="448"/>
      <c r="J27" s="434"/>
      <c r="K27" s="434"/>
      <c r="L27" s="434"/>
      <c r="M27" s="435"/>
      <c r="N27" s="435"/>
      <c r="O27" s="435"/>
      <c r="P27" s="435"/>
      <c r="Q27" s="434"/>
      <c r="R27" s="434"/>
      <c r="S27" s="434"/>
      <c r="T27" s="435"/>
      <c r="U27" s="435"/>
      <c r="V27" s="435"/>
      <c r="W27" s="435"/>
      <c r="X27" s="435"/>
      <c r="Y27" s="435"/>
      <c r="Z27" s="435"/>
      <c r="AA27" s="435">
        <f t="shared" si="2"/>
        <v>0</v>
      </c>
      <c r="AB27" s="348">
        <f t="shared" si="3"/>
        <v>0</v>
      </c>
      <c r="AC27" s="356"/>
    </row>
    <row r="28" spans="1:35" ht="24" x14ac:dyDescent="0.25">
      <c r="A28" s="446"/>
      <c r="B28" s="446">
        <v>711183</v>
      </c>
      <c r="C28" s="447" t="s">
        <v>4820</v>
      </c>
      <c r="D28" s="434">
        <v>65305</v>
      </c>
      <c r="E28" s="700">
        <v>44885.35</v>
      </c>
      <c r="F28" s="701">
        <f t="shared" si="1"/>
        <v>0.68731873516576059</v>
      </c>
      <c r="G28" s="434"/>
      <c r="H28" s="434"/>
      <c r="I28" s="448"/>
      <c r="J28" s="434"/>
      <c r="K28" s="434"/>
      <c r="L28" s="434"/>
      <c r="M28" s="435"/>
      <c r="N28" s="435"/>
      <c r="O28" s="435"/>
      <c r="P28" s="435"/>
      <c r="Q28" s="434"/>
      <c r="R28" s="434"/>
      <c r="S28" s="434"/>
      <c r="T28" s="435"/>
      <c r="U28" s="435"/>
      <c r="V28" s="435"/>
      <c r="W28" s="435"/>
      <c r="X28" s="435"/>
      <c r="Y28" s="435"/>
      <c r="Z28" s="435"/>
      <c r="AA28" s="435">
        <f t="shared" si="2"/>
        <v>65305</v>
      </c>
      <c r="AB28" s="348">
        <f t="shared" si="3"/>
        <v>44885.35</v>
      </c>
      <c r="AC28" s="356">
        <f t="shared" si="4"/>
        <v>0.68731873516576059</v>
      </c>
    </row>
    <row r="29" spans="1:35" ht="24" x14ac:dyDescent="0.25">
      <c r="A29" s="446"/>
      <c r="B29" s="446">
        <v>711184</v>
      </c>
      <c r="C29" s="447" t="s">
        <v>4858</v>
      </c>
      <c r="D29" s="434">
        <v>8697</v>
      </c>
      <c r="E29" s="700"/>
      <c r="F29" s="701">
        <f t="shared" si="1"/>
        <v>0</v>
      </c>
      <c r="G29" s="434"/>
      <c r="H29" s="434"/>
      <c r="I29" s="448"/>
      <c r="J29" s="434"/>
      <c r="K29" s="434"/>
      <c r="L29" s="434"/>
      <c r="M29" s="435"/>
      <c r="N29" s="435"/>
      <c r="O29" s="435"/>
      <c r="P29" s="435"/>
      <c r="Q29" s="434"/>
      <c r="R29" s="434"/>
      <c r="S29" s="434"/>
      <c r="T29" s="435"/>
      <c r="U29" s="435"/>
      <c r="V29" s="435"/>
      <c r="W29" s="435"/>
      <c r="X29" s="435"/>
      <c r="Y29" s="435"/>
      <c r="Z29" s="435"/>
      <c r="AA29" s="435">
        <f t="shared" si="2"/>
        <v>8697</v>
      </c>
      <c r="AB29" s="348">
        <f t="shared" si="3"/>
        <v>0</v>
      </c>
      <c r="AC29" s="356">
        <f t="shared" si="4"/>
        <v>0</v>
      </c>
    </row>
    <row r="30" spans="1:35" x14ac:dyDescent="0.25">
      <c r="A30" s="446"/>
      <c r="B30" s="446">
        <v>711191</v>
      </c>
      <c r="C30" s="447" t="s">
        <v>4821</v>
      </c>
      <c r="D30" s="434">
        <f>7760958+850000+25000</f>
        <v>8635958</v>
      </c>
      <c r="E30" s="700">
        <v>4977048.3499999996</v>
      </c>
      <c r="F30" s="701">
        <f t="shared" si="1"/>
        <v>0.57631687764113715</v>
      </c>
      <c r="G30" s="434"/>
      <c r="H30" s="434"/>
      <c r="I30" s="448"/>
      <c r="J30" s="434"/>
      <c r="K30" s="434"/>
      <c r="L30" s="434"/>
      <c r="M30" s="435"/>
      <c r="N30" s="435"/>
      <c r="O30" s="435"/>
      <c r="P30" s="435"/>
      <c r="Q30" s="434"/>
      <c r="R30" s="434"/>
      <c r="S30" s="434"/>
      <c r="T30" s="435"/>
      <c r="U30" s="435"/>
      <c r="V30" s="435"/>
      <c r="W30" s="435"/>
      <c r="X30" s="435"/>
      <c r="Y30" s="435"/>
      <c r="Z30" s="435"/>
      <c r="AA30" s="435">
        <f t="shared" si="2"/>
        <v>8635958</v>
      </c>
      <c r="AB30" s="348">
        <f t="shared" si="3"/>
        <v>4977048.3499999996</v>
      </c>
      <c r="AC30" s="356">
        <f t="shared" si="4"/>
        <v>0.57631687764113715</v>
      </c>
    </row>
    <row r="31" spans="1:35" ht="24" x14ac:dyDescent="0.25">
      <c r="A31" s="449"/>
      <c r="B31" s="446">
        <v>711193</v>
      </c>
      <c r="C31" s="447" t="s">
        <v>4822</v>
      </c>
      <c r="D31" s="434">
        <v>128611</v>
      </c>
      <c r="E31" s="700">
        <v>21868.83</v>
      </c>
      <c r="F31" s="701">
        <f t="shared" si="1"/>
        <v>0.17003856590804831</v>
      </c>
      <c r="G31" s="434"/>
      <c r="H31" s="434"/>
      <c r="I31" s="448"/>
      <c r="J31" s="434"/>
      <c r="K31" s="434"/>
      <c r="L31" s="434"/>
      <c r="M31" s="435"/>
      <c r="N31" s="435"/>
      <c r="O31" s="435"/>
      <c r="P31" s="435"/>
      <c r="Q31" s="434"/>
      <c r="R31" s="434"/>
      <c r="S31" s="434"/>
      <c r="T31" s="435"/>
      <c r="U31" s="435"/>
      <c r="V31" s="435"/>
      <c r="W31" s="435"/>
      <c r="X31" s="435"/>
      <c r="Y31" s="435"/>
      <c r="Z31" s="435"/>
      <c r="AA31" s="435">
        <f t="shared" si="2"/>
        <v>128611</v>
      </c>
      <c r="AB31" s="348">
        <f t="shared" si="3"/>
        <v>21868.83</v>
      </c>
      <c r="AC31" s="356">
        <f t="shared" si="4"/>
        <v>0.17003856590804831</v>
      </c>
    </row>
    <row r="32" spans="1:35" x14ac:dyDescent="0.25">
      <c r="A32" s="492">
        <v>712000</v>
      </c>
      <c r="B32" s="495"/>
      <c r="C32" s="494" t="s">
        <v>4817</v>
      </c>
      <c r="D32" s="479">
        <f>SUM(D33)</f>
        <v>12</v>
      </c>
      <c r="E32" s="353">
        <f>SUM(E33)</f>
        <v>0</v>
      </c>
      <c r="F32" s="340">
        <f t="shared" si="1"/>
        <v>0</v>
      </c>
      <c r="G32" s="479">
        <f>SUM(G33)</f>
        <v>0</v>
      </c>
      <c r="H32" s="479">
        <f>SUM(H33)</f>
        <v>0</v>
      </c>
      <c r="I32" s="480"/>
      <c r="J32" s="479">
        <f>SUM(J33)</f>
        <v>0</v>
      </c>
      <c r="K32" s="479">
        <f>SUM(K33)</f>
        <v>0</v>
      </c>
      <c r="L32" s="479"/>
      <c r="M32" s="482"/>
      <c r="N32" s="482"/>
      <c r="O32" s="482"/>
      <c r="P32" s="482"/>
      <c r="Q32" s="479">
        <f>SUM(Q33)</f>
        <v>0</v>
      </c>
      <c r="R32" s="479">
        <f>SUM(R33)</f>
        <v>0</v>
      </c>
      <c r="S32" s="479"/>
      <c r="T32" s="482"/>
      <c r="U32" s="482"/>
      <c r="V32" s="482"/>
      <c r="W32" s="482"/>
      <c r="X32" s="482"/>
      <c r="Y32" s="482"/>
      <c r="Z32" s="482"/>
      <c r="AA32" s="482">
        <f>SUM(AA33)</f>
        <v>12</v>
      </c>
      <c r="AB32" s="526">
        <f>SUM(AB33)</f>
        <v>0</v>
      </c>
      <c r="AC32" s="527"/>
    </row>
    <row r="33" spans="1:29" ht="24" x14ac:dyDescent="0.25">
      <c r="A33" s="449"/>
      <c r="B33" s="446">
        <v>712112</v>
      </c>
      <c r="C33" s="447" t="s">
        <v>4818</v>
      </c>
      <c r="D33" s="434">
        <v>12</v>
      </c>
      <c r="E33" s="700"/>
      <c r="F33" s="701">
        <f t="shared" si="1"/>
        <v>0</v>
      </c>
      <c r="G33" s="434">
        <v>0</v>
      </c>
      <c r="H33" s="434"/>
      <c r="I33" s="448"/>
      <c r="J33" s="434"/>
      <c r="K33" s="434"/>
      <c r="L33" s="434"/>
      <c r="M33" s="435"/>
      <c r="N33" s="435"/>
      <c r="O33" s="435"/>
      <c r="P33" s="435"/>
      <c r="Q33" s="434"/>
      <c r="R33" s="434"/>
      <c r="S33" s="434"/>
      <c r="T33" s="435"/>
      <c r="U33" s="435"/>
      <c r="V33" s="435"/>
      <c r="W33" s="435"/>
      <c r="X33" s="435"/>
      <c r="Y33" s="435"/>
      <c r="Z33" s="435"/>
      <c r="AA33" s="435">
        <f>SUM(G33,D33,J33,M33,W33)</f>
        <v>12</v>
      </c>
      <c r="AB33" s="348">
        <f>SUM(H33,E33,K33,R33)</f>
        <v>0</v>
      </c>
      <c r="AC33" s="356">
        <f>AB33/AA33</f>
        <v>0</v>
      </c>
    </row>
    <row r="34" spans="1:29" x14ac:dyDescent="0.25">
      <c r="A34" s="492">
        <v>713000</v>
      </c>
      <c r="B34" s="495"/>
      <c r="C34" s="494" t="s">
        <v>3697</v>
      </c>
      <c r="D34" s="479">
        <f>SUM(D35:D43)</f>
        <v>54751500</v>
      </c>
      <c r="E34" s="353">
        <f>SUM(E35:E43)</f>
        <v>22114564.580000002</v>
      </c>
      <c r="F34" s="340">
        <f>E34/D34</f>
        <v>0.40390792179209706</v>
      </c>
      <c r="G34" s="479">
        <f>SUM(G35:G43)</f>
        <v>0</v>
      </c>
      <c r="H34" s="479">
        <f>SUM(H35:H43)</f>
        <v>0</v>
      </c>
      <c r="I34" s="480"/>
      <c r="J34" s="479">
        <f>SUM(J35:J43)</f>
        <v>0</v>
      </c>
      <c r="K34" s="479">
        <f>SUM(K35:K43)</f>
        <v>0</v>
      </c>
      <c r="L34" s="479"/>
      <c r="M34" s="482"/>
      <c r="N34" s="482"/>
      <c r="O34" s="482"/>
      <c r="P34" s="482"/>
      <c r="Q34" s="479">
        <f>SUM(Q35:Q43)</f>
        <v>0</v>
      </c>
      <c r="R34" s="479">
        <f>SUM(R35:R43)</f>
        <v>0</v>
      </c>
      <c r="S34" s="479"/>
      <c r="T34" s="482"/>
      <c r="U34" s="482"/>
      <c r="V34" s="482"/>
      <c r="W34" s="482"/>
      <c r="X34" s="482"/>
      <c r="Y34" s="482"/>
      <c r="Z34" s="482"/>
      <c r="AA34" s="482">
        <f>SUM(AA35:AA43)</f>
        <v>54751500</v>
      </c>
      <c r="AB34" s="526">
        <f>SUM(AB35:AB43)</f>
        <v>22114564.580000002</v>
      </c>
      <c r="AC34" s="527"/>
    </row>
    <row r="35" spans="1:29" ht="24" x14ac:dyDescent="0.25">
      <c r="A35" s="446"/>
      <c r="B35" s="446">
        <v>713121</v>
      </c>
      <c r="C35" s="447" t="s">
        <v>4823</v>
      </c>
      <c r="D35" s="434">
        <f>22149989+1000000+2500000</f>
        <v>25649989</v>
      </c>
      <c r="E35" s="700">
        <v>7640556.0300000003</v>
      </c>
      <c r="F35" s="701">
        <f t="shared" si="1"/>
        <v>0.29787755581493625</v>
      </c>
      <c r="G35" s="434"/>
      <c r="H35" s="434"/>
      <c r="I35" s="448"/>
      <c r="J35" s="434"/>
      <c r="K35" s="434"/>
      <c r="L35" s="434"/>
      <c r="M35" s="435"/>
      <c r="N35" s="435"/>
      <c r="O35" s="435"/>
      <c r="P35" s="435"/>
      <c r="Q35" s="434"/>
      <c r="R35" s="434"/>
      <c r="S35" s="434"/>
      <c r="T35" s="435"/>
      <c r="U35" s="435"/>
      <c r="V35" s="435"/>
      <c r="W35" s="435"/>
      <c r="X35" s="435"/>
      <c r="Y35" s="435"/>
      <c r="Z35" s="435"/>
      <c r="AA35" s="435">
        <f t="shared" ref="AA35:AA43" si="5">SUM(G35,D35,J35,M35,W35)</f>
        <v>25649989</v>
      </c>
      <c r="AB35" s="348">
        <f t="shared" ref="AB35:AB43" si="6">SUM(H35,E35,K35,R35)</f>
        <v>7640556.0300000003</v>
      </c>
      <c r="AC35" s="356">
        <f t="shared" ref="AC35:AC101" si="7">AB35/AA35</f>
        <v>0.29787755581493625</v>
      </c>
    </row>
    <row r="36" spans="1:29" ht="24" x14ac:dyDescent="0.25">
      <c r="A36" s="446"/>
      <c r="B36" s="446">
        <v>713122</v>
      </c>
      <c r="C36" s="447" t="s">
        <v>4824</v>
      </c>
      <c r="D36" s="434">
        <f>12865679+1063242+200300</f>
        <v>14129221</v>
      </c>
      <c r="E36" s="700">
        <v>7952507.3600000003</v>
      </c>
      <c r="F36" s="701">
        <f t="shared" si="1"/>
        <v>0.5628411757449332</v>
      </c>
      <c r="G36" s="434"/>
      <c r="H36" s="434"/>
      <c r="I36" s="448"/>
      <c r="J36" s="434"/>
      <c r="K36" s="434"/>
      <c r="L36" s="434"/>
      <c r="M36" s="435"/>
      <c r="N36" s="435"/>
      <c r="O36" s="435"/>
      <c r="P36" s="435"/>
      <c r="Q36" s="434"/>
      <c r="R36" s="434"/>
      <c r="S36" s="434"/>
      <c r="T36" s="435"/>
      <c r="U36" s="435"/>
      <c r="V36" s="435"/>
      <c r="W36" s="435"/>
      <c r="X36" s="435"/>
      <c r="Y36" s="435"/>
      <c r="Z36" s="435"/>
      <c r="AA36" s="435">
        <f t="shared" si="5"/>
        <v>14129221</v>
      </c>
      <c r="AB36" s="348">
        <f t="shared" si="6"/>
        <v>7952507.3600000003</v>
      </c>
      <c r="AC36" s="356">
        <f t="shared" si="7"/>
        <v>0.5628411757449332</v>
      </c>
    </row>
    <row r="37" spans="1:29" ht="36" hidden="1" x14ac:dyDescent="0.25">
      <c r="A37" s="446"/>
      <c r="B37" s="446">
        <v>713126</v>
      </c>
      <c r="C37" s="447" t="s">
        <v>3753</v>
      </c>
      <c r="D37" s="434">
        <v>0</v>
      </c>
      <c r="E37" s="700"/>
      <c r="F37" s="701" t="e">
        <f t="shared" si="1"/>
        <v>#DIV/0!</v>
      </c>
      <c r="G37" s="434"/>
      <c r="H37" s="434"/>
      <c r="I37" s="448"/>
      <c r="J37" s="434"/>
      <c r="K37" s="434"/>
      <c r="L37" s="434"/>
      <c r="M37" s="435"/>
      <c r="N37" s="435"/>
      <c r="O37" s="435"/>
      <c r="P37" s="435"/>
      <c r="Q37" s="434"/>
      <c r="R37" s="434"/>
      <c r="S37" s="434"/>
      <c r="T37" s="435"/>
      <c r="U37" s="435"/>
      <c r="V37" s="435"/>
      <c r="W37" s="435"/>
      <c r="X37" s="435"/>
      <c r="Y37" s="435"/>
      <c r="Z37" s="435"/>
      <c r="AA37" s="435">
        <f t="shared" si="5"/>
        <v>0</v>
      </c>
      <c r="AB37" s="348">
        <f t="shared" si="6"/>
        <v>0</v>
      </c>
      <c r="AC37" s="356" t="e">
        <f t="shared" si="7"/>
        <v>#DIV/0!</v>
      </c>
    </row>
    <row r="38" spans="1:29" ht="24" x14ac:dyDescent="0.25">
      <c r="A38" s="446"/>
      <c r="B38" s="446">
        <v>713311</v>
      </c>
      <c r="C38" s="447" t="s">
        <v>3698</v>
      </c>
      <c r="D38" s="434">
        <v>1608405</v>
      </c>
      <c r="E38" s="700">
        <v>817868.74</v>
      </c>
      <c r="F38" s="701">
        <f t="shared" si="1"/>
        <v>0.50849676542910527</v>
      </c>
      <c r="G38" s="434"/>
      <c r="H38" s="434"/>
      <c r="I38" s="448"/>
      <c r="J38" s="434"/>
      <c r="K38" s="434"/>
      <c r="L38" s="434"/>
      <c r="M38" s="435"/>
      <c r="N38" s="435"/>
      <c r="O38" s="435"/>
      <c r="P38" s="435"/>
      <c r="Q38" s="434"/>
      <c r="R38" s="434"/>
      <c r="S38" s="434"/>
      <c r="T38" s="435"/>
      <c r="U38" s="435"/>
      <c r="V38" s="435"/>
      <c r="W38" s="435"/>
      <c r="X38" s="435"/>
      <c r="Y38" s="435"/>
      <c r="Z38" s="435"/>
      <c r="AA38" s="435">
        <f t="shared" si="5"/>
        <v>1608405</v>
      </c>
      <c r="AB38" s="348">
        <f t="shared" si="6"/>
        <v>817868.74</v>
      </c>
      <c r="AC38" s="356">
        <f t="shared" si="7"/>
        <v>0.50849676542910527</v>
      </c>
    </row>
    <row r="39" spans="1:29" ht="36" x14ac:dyDescent="0.25">
      <c r="A39" s="446"/>
      <c r="B39" s="446">
        <v>713421</v>
      </c>
      <c r="C39" s="447" t="s">
        <v>3699</v>
      </c>
      <c r="D39" s="434">
        <f>9629538+1000000</f>
        <v>10629538</v>
      </c>
      <c r="E39" s="700">
        <v>4095538.13</v>
      </c>
      <c r="F39" s="701">
        <f t="shared" si="1"/>
        <v>0.38529784925741833</v>
      </c>
      <c r="G39" s="434"/>
      <c r="H39" s="434"/>
      <c r="I39" s="448"/>
      <c r="J39" s="434"/>
      <c r="K39" s="434"/>
      <c r="L39" s="434"/>
      <c r="M39" s="435"/>
      <c r="N39" s="435"/>
      <c r="O39" s="435"/>
      <c r="P39" s="435"/>
      <c r="Q39" s="434"/>
      <c r="R39" s="434"/>
      <c r="S39" s="434"/>
      <c r="T39" s="435"/>
      <c r="U39" s="435"/>
      <c r="V39" s="435"/>
      <c r="W39" s="435"/>
      <c r="X39" s="435"/>
      <c r="Y39" s="435"/>
      <c r="Z39" s="435"/>
      <c r="AA39" s="435">
        <f t="shared" si="5"/>
        <v>10629538</v>
      </c>
      <c r="AB39" s="348">
        <f t="shared" si="6"/>
        <v>4095538.13</v>
      </c>
      <c r="AC39" s="356">
        <f t="shared" si="7"/>
        <v>0.38529784925741833</v>
      </c>
    </row>
    <row r="40" spans="1:29" ht="48" hidden="1" x14ac:dyDescent="0.25">
      <c r="A40" s="446"/>
      <c r="B40" s="446">
        <v>713422</v>
      </c>
      <c r="C40" s="447" t="s">
        <v>3700</v>
      </c>
      <c r="D40" s="434">
        <v>0</v>
      </c>
      <c r="E40" s="700"/>
      <c r="F40" s="701" t="e">
        <f t="shared" si="1"/>
        <v>#DIV/0!</v>
      </c>
      <c r="G40" s="434"/>
      <c r="H40" s="434"/>
      <c r="I40" s="448"/>
      <c r="J40" s="434"/>
      <c r="K40" s="434"/>
      <c r="L40" s="434"/>
      <c r="M40" s="435"/>
      <c r="N40" s="435"/>
      <c r="O40" s="435"/>
      <c r="P40" s="435"/>
      <c r="Q40" s="434"/>
      <c r="R40" s="434"/>
      <c r="S40" s="434"/>
      <c r="T40" s="435"/>
      <c r="U40" s="435"/>
      <c r="V40" s="435"/>
      <c r="W40" s="435"/>
      <c r="X40" s="435"/>
      <c r="Y40" s="435"/>
      <c r="Z40" s="435"/>
      <c r="AA40" s="435">
        <f t="shared" si="5"/>
        <v>0</v>
      </c>
      <c r="AB40" s="348">
        <f t="shared" si="6"/>
        <v>0</v>
      </c>
      <c r="AC40" s="356" t="e">
        <f t="shared" si="7"/>
        <v>#DIV/0!</v>
      </c>
    </row>
    <row r="41" spans="1:29" ht="48" x14ac:dyDescent="0.25">
      <c r="A41" s="446"/>
      <c r="B41" s="446">
        <v>713423</v>
      </c>
      <c r="C41" s="447" t="s">
        <v>3754</v>
      </c>
      <c r="D41" s="434">
        <f>2633843+100399</f>
        <v>2734242</v>
      </c>
      <c r="E41" s="700">
        <v>1608094.32</v>
      </c>
      <c r="F41" s="701">
        <f t="shared" si="1"/>
        <v>0.58813167232454189</v>
      </c>
      <c r="G41" s="434"/>
      <c r="H41" s="434"/>
      <c r="I41" s="448"/>
      <c r="J41" s="434"/>
      <c r="K41" s="434"/>
      <c r="L41" s="434"/>
      <c r="M41" s="435"/>
      <c r="N41" s="435"/>
      <c r="O41" s="435"/>
      <c r="P41" s="435"/>
      <c r="Q41" s="434"/>
      <c r="R41" s="434"/>
      <c r="S41" s="434"/>
      <c r="T41" s="435"/>
      <c r="U41" s="435"/>
      <c r="V41" s="435"/>
      <c r="W41" s="435"/>
      <c r="X41" s="435"/>
      <c r="Y41" s="435"/>
      <c r="Z41" s="435"/>
      <c r="AA41" s="435">
        <f t="shared" si="5"/>
        <v>2734242</v>
      </c>
      <c r="AB41" s="348">
        <f t="shared" si="6"/>
        <v>1608094.32</v>
      </c>
      <c r="AC41" s="356">
        <f t="shared" si="7"/>
        <v>0.58813167232454189</v>
      </c>
    </row>
    <row r="42" spans="1:29" ht="36" hidden="1" x14ac:dyDescent="0.25">
      <c r="A42" s="446"/>
      <c r="B42" s="446">
        <v>713424</v>
      </c>
      <c r="C42" s="447" t="s">
        <v>3755</v>
      </c>
      <c r="D42" s="434">
        <v>0</v>
      </c>
      <c r="E42" s="700"/>
      <c r="F42" s="701" t="e">
        <f t="shared" si="1"/>
        <v>#DIV/0!</v>
      </c>
      <c r="G42" s="434"/>
      <c r="H42" s="434"/>
      <c r="I42" s="448"/>
      <c r="J42" s="434"/>
      <c r="K42" s="434"/>
      <c r="L42" s="434"/>
      <c r="M42" s="435"/>
      <c r="N42" s="435"/>
      <c r="O42" s="435"/>
      <c r="P42" s="435"/>
      <c r="Q42" s="434"/>
      <c r="R42" s="434"/>
      <c r="S42" s="434"/>
      <c r="T42" s="435"/>
      <c r="U42" s="435"/>
      <c r="V42" s="435"/>
      <c r="W42" s="435"/>
      <c r="X42" s="435"/>
      <c r="Y42" s="435"/>
      <c r="Z42" s="435"/>
      <c r="AA42" s="435">
        <f t="shared" si="5"/>
        <v>0</v>
      </c>
      <c r="AB42" s="348">
        <f t="shared" si="6"/>
        <v>0</v>
      </c>
      <c r="AC42" s="356" t="e">
        <f t="shared" si="7"/>
        <v>#DIV/0!</v>
      </c>
    </row>
    <row r="43" spans="1:29" x14ac:dyDescent="0.25">
      <c r="A43" s="446"/>
      <c r="B43" s="446">
        <v>713611</v>
      </c>
      <c r="C43" s="447" t="s">
        <v>3701</v>
      </c>
      <c r="D43" s="434">
        <v>105</v>
      </c>
      <c r="E43" s="700">
        <v>0</v>
      </c>
      <c r="F43" s="701">
        <f t="shared" si="1"/>
        <v>0</v>
      </c>
      <c r="G43" s="434"/>
      <c r="H43" s="434"/>
      <c r="I43" s="448"/>
      <c r="J43" s="434"/>
      <c r="K43" s="434"/>
      <c r="L43" s="434"/>
      <c r="M43" s="435"/>
      <c r="N43" s="435"/>
      <c r="O43" s="435"/>
      <c r="P43" s="435"/>
      <c r="Q43" s="434"/>
      <c r="R43" s="434"/>
      <c r="S43" s="434"/>
      <c r="T43" s="435"/>
      <c r="U43" s="435"/>
      <c r="V43" s="435"/>
      <c r="W43" s="435"/>
      <c r="X43" s="435"/>
      <c r="Y43" s="435"/>
      <c r="Z43" s="435"/>
      <c r="AA43" s="435">
        <f t="shared" si="5"/>
        <v>105</v>
      </c>
      <c r="AB43" s="348">
        <f t="shared" si="6"/>
        <v>0</v>
      </c>
      <c r="AC43" s="356"/>
    </row>
    <row r="44" spans="1:29" x14ac:dyDescent="0.25">
      <c r="A44" s="492">
        <v>714000</v>
      </c>
      <c r="B44" s="493"/>
      <c r="C44" s="494" t="s">
        <v>3702</v>
      </c>
      <c r="D44" s="479">
        <f>SUM(D45:D54)</f>
        <v>13873952</v>
      </c>
      <c r="E44" s="353">
        <f>SUM(E45:E54)</f>
        <v>7598670.2100000009</v>
      </c>
      <c r="F44" s="340">
        <f>E44/D44</f>
        <v>0.54769327513890786</v>
      </c>
      <c r="G44" s="479">
        <f>SUM(G45:G54)</f>
        <v>0</v>
      </c>
      <c r="H44" s="479">
        <f>SUM(H45:H54)</f>
        <v>0</v>
      </c>
      <c r="I44" s="480"/>
      <c r="J44" s="479">
        <f>SUM(J45:J54)</f>
        <v>0</v>
      </c>
      <c r="K44" s="479">
        <f>SUM(K45:K54)</f>
        <v>0</v>
      </c>
      <c r="L44" s="479"/>
      <c r="M44" s="482"/>
      <c r="N44" s="482"/>
      <c r="O44" s="482"/>
      <c r="P44" s="482"/>
      <c r="Q44" s="479">
        <f>SUM(Q45:Q54)</f>
        <v>0</v>
      </c>
      <c r="R44" s="479">
        <f>SUM(R45:R54)</f>
        <v>0</v>
      </c>
      <c r="S44" s="479"/>
      <c r="T44" s="482"/>
      <c r="U44" s="482"/>
      <c r="V44" s="482"/>
      <c r="W44" s="482"/>
      <c r="X44" s="482"/>
      <c r="Y44" s="482"/>
      <c r="Z44" s="482"/>
      <c r="AA44" s="482">
        <f>SUM(AA45:AA54)</f>
        <v>13873952</v>
      </c>
      <c r="AB44" s="526">
        <f>SUM(AB45:AB54)</f>
        <v>7598670.2100000009</v>
      </c>
      <c r="AC44" s="527">
        <f t="shared" si="7"/>
        <v>0.54769327513890786</v>
      </c>
    </row>
    <row r="45" spans="1:29" hidden="1" x14ac:dyDescent="0.25">
      <c r="A45" s="136"/>
      <c r="B45" s="706">
        <v>714441</v>
      </c>
      <c r="C45" s="134" t="s">
        <v>3703</v>
      </c>
      <c r="D45" s="335"/>
      <c r="E45" s="707"/>
      <c r="F45" s="708" t="e">
        <f t="shared" si="1"/>
        <v>#DIV/0!</v>
      </c>
      <c r="G45" s="335"/>
      <c r="H45" s="335"/>
      <c r="I45" s="342"/>
      <c r="J45" s="335"/>
      <c r="K45" s="335"/>
      <c r="L45" s="335"/>
      <c r="M45" s="368"/>
      <c r="N45" s="368"/>
      <c r="O45" s="368"/>
      <c r="P45" s="368"/>
      <c r="Q45" s="335"/>
      <c r="R45" s="335"/>
      <c r="S45" s="335"/>
      <c r="T45" s="368"/>
      <c r="U45" s="368"/>
      <c r="V45" s="368"/>
      <c r="W45" s="368"/>
      <c r="X45" s="368"/>
      <c r="Y45" s="368"/>
      <c r="Z45" s="368"/>
      <c r="AA45" s="368">
        <f>SUM(G45,D45)</f>
        <v>0</v>
      </c>
      <c r="AB45" s="348"/>
      <c r="AC45" s="356" t="e">
        <f t="shared" si="7"/>
        <v>#DIV/0!</v>
      </c>
    </row>
    <row r="46" spans="1:29" ht="63.75" customHeight="1" x14ac:dyDescent="0.25">
      <c r="A46" s="450"/>
      <c r="B46" s="446">
        <v>714431</v>
      </c>
      <c r="C46" s="447" t="s">
        <v>5535</v>
      </c>
      <c r="D46" s="434">
        <v>1200000</v>
      </c>
      <c r="E46" s="700">
        <v>0</v>
      </c>
      <c r="F46" s="701">
        <f t="shared" si="1"/>
        <v>0</v>
      </c>
      <c r="G46" s="434"/>
      <c r="H46" s="434"/>
      <c r="I46" s="448"/>
      <c r="J46" s="434"/>
      <c r="K46" s="434"/>
      <c r="L46" s="434"/>
      <c r="M46" s="435"/>
      <c r="N46" s="435"/>
      <c r="O46" s="435"/>
      <c r="P46" s="435"/>
      <c r="Q46" s="434"/>
      <c r="R46" s="434"/>
      <c r="S46" s="434"/>
      <c r="T46" s="435"/>
      <c r="U46" s="435"/>
      <c r="V46" s="435"/>
      <c r="W46" s="435"/>
      <c r="X46" s="435"/>
      <c r="Y46" s="435"/>
      <c r="Z46" s="435"/>
      <c r="AA46" s="435">
        <f t="shared" ref="AA46:AA53" si="8">SUM(G46,D46,J46,M46,W46)</f>
        <v>1200000</v>
      </c>
      <c r="AB46" s="348">
        <f t="shared" ref="AB46:AB53" si="9">SUM(H46,E46,K46,R46)</f>
        <v>0</v>
      </c>
      <c r="AC46" s="356">
        <f t="shared" si="7"/>
        <v>0</v>
      </c>
    </row>
    <row r="47" spans="1:29" ht="36" x14ac:dyDescent="0.25">
      <c r="A47" s="450"/>
      <c r="B47" s="446">
        <v>714513</v>
      </c>
      <c r="C47" s="447" t="s">
        <v>3704</v>
      </c>
      <c r="D47" s="434">
        <f>8418303+1000000</f>
        <v>9418303</v>
      </c>
      <c r="E47" s="700">
        <v>6168749</v>
      </c>
      <c r="F47" s="701">
        <f t="shared" si="1"/>
        <v>0.65497457450668128</v>
      </c>
      <c r="G47" s="434"/>
      <c r="H47" s="434"/>
      <c r="I47" s="448"/>
      <c r="J47" s="434"/>
      <c r="K47" s="434"/>
      <c r="L47" s="434"/>
      <c r="M47" s="435"/>
      <c r="N47" s="435"/>
      <c r="O47" s="435"/>
      <c r="P47" s="435"/>
      <c r="Q47" s="434"/>
      <c r="R47" s="434"/>
      <c r="S47" s="434"/>
      <c r="T47" s="435"/>
      <c r="U47" s="435"/>
      <c r="V47" s="435"/>
      <c r="W47" s="435"/>
      <c r="X47" s="435"/>
      <c r="Y47" s="435"/>
      <c r="Z47" s="435"/>
      <c r="AA47" s="435">
        <f t="shared" si="8"/>
        <v>9418303</v>
      </c>
      <c r="AB47" s="348">
        <f t="shared" si="9"/>
        <v>6168749</v>
      </c>
      <c r="AC47" s="356">
        <f t="shared" si="7"/>
        <v>0.65497457450668128</v>
      </c>
    </row>
    <row r="48" spans="1:29" x14ac:dyDescent="0.25">
      <c r="A48" s="450"/>
      <c r="B48" s="446">
        <v>714514</v>
      </c>
      <c r="C48" s="447" t="s">
        <v>4860</v>
      </c>
      <c r="D48" s="434"/>
      <c r="E48" s="700">
        <v>0</v>
      </c>
      <c r="F48" s="701"/>
      <c r="G48" s="434"/>
      <c r="H48" s="434"/>
      <c r="I48" s="448"/>
      <c r="J48" s="434"/>
      <c r="K48" s="434"/>
      <c r="L48" s="434"/>
      <c r="M48" s="435"/>
      <c r="N48" s="435"/>
      <c r="O48" s="435"/>
      <c r="P48" s="435"/>
      <c r="Q48" s="434"/>
      <c r="R48" s="434"/>
      <c r="S48" s="434"/>
      <c r="T48" s="435"/>
      <c r="U48" s="435"/>
      <c r="V48" s="435"/>
      <c r="W48" s="435"/>
      <c r="X48" s="435"/>
      <c r="Y48" s="435"/>
      <c r="Z48" s="435"/>
      <c r="AA48" s="435">
        <f t="shared" si="8"/>
        <v>0</v>
      </c>
      <c r="AB48" s="348">
        <f t="shared" si="9"/>
        <v>0</v>
      </c>
      <c r="AC48" s="356"/>
    </row>
    <row r="49" spans="1:33" ht="24" x14ac:dyDescent="0.25">
      <c r="A49" s="450"/>
      <c r="B49" s="446">
        <v>714543</v>
      </c>
      <c r="C49" s="447" t="s">
        <v>3705</v>
      </c>
      <c r="D49" s="434">
        <v>186407</v>
      </c>
      <c r="E49" s="700">
        <v>39524.400000000001</v>
      </c>
      <c r="F49" s="701">
        <f t="shared" si="1"/>
        <v>0.21203280992666584</v>
      </c>
      <c r="G49" s="434"/>
      <c r="H49" s="434"/>
      <c r="I49" s="448"/>
      <c r="J49" s="434"/>
      <c r="K49" s="434"/>
      <c r="L49" s="434"/>
      <c r="M49" s="435"/>
      <c r="N49" s="435"/>
      <c r="O49" s="435"/>
      <c r="P49" s="435"/>
      <c r="Q49" s="434"/>
      <c r="R49" s="434"/>
      <c r="S49" s="434"/>
      <c r="T49" s="435"/>
      <c r="U49" s="435"/>
      <c r="V49" s="435"/>
      <c r="W49" s="435"/>
      <c r="X49" s="435"/>
      <c r="Y49" s="435"/>
      <c r="Z49" s="435"/>
      <c r="AA49" s="435">
        <f t="shared" si="8"/>
        <v>186407</v>
      </c>
      <c r="AB49" s="348">
        <f t="shared" si="9"/>
        <v>39524.400000000001</v>
      </c>
      <c r="AC49" s="356">
        <f t="shared" si="7"/>
        <v>0.21203280992666584</v>
      </c>
    </row>
    <row r="50" spans="1:33" x14ac:dyDescent="0.25">
      <c r="A50" s="450"/>
      <c r="B50" s="446">
        <v>714547</v>
      </c>
      <c r="C50" s="447" t="s">
        <v>4825</v>
      </c>
      <c r="D50" s="434">
        <v>5010</v>
      </c>
      <c r="E50" s="700"/>
      <c r="F50" s="701">
        <f t="shared" si="1"/>
        <v>0</v>
      </c>
      <c r="G50" s="434"/>
      <c r="H50" s="434"/>
      <c r="I50" s="448"/>
      <c r="J50" s="434"/>
      <c r="K50" s="434"/>
      <c r="L50" s="434"/>
      <c r="M50" s="435"/>
      <c r="N50" s="435"/>
      <c r="O50" s="435"/>
      <c r="P50" s="435"/>
      <c r="Q50" s="434"/>
      <c r="R50" s="434"/>
      <c r="S50" s="434"/>
      <c r="T50" s="435"/>
      <c r="U50" s="435"/>
      <c r="V50" s="435"/>
      <c r="W50" s="435"/>
      <c r="X50" s="435"/>
      <c r="Y50" s="435"/>
      <c r="Z50" s="435"/>
      <c r="AA50" s="435">
        <f t="shared" si="8"/>
        <v>5010</v>
      </c>
      <c r="AB50" s="348">
        <f t="shared" si="9"/>
        <v>0</v>
      </c>
      <c r="AC50" s="356">
        <f t="shared" si="7"/>
        <v>0</v>
      </c>
    </row>
    <row r="51" spans="1:33" ht="36" hidden="1" x14ac:dyDescent="0.25">
      <c r="A51" s="450"/>
      <c r="B51" s="446">
        <v>714549</v>
      </c>
      <c r="C51" s="447" t="s">
        <v>3706</v>
      </c>
      <c r="D51" s="434">
        <v>0</v>
      </c>
      <c r="E51" s="700"/>
      <c r="F51" s="701" t="e">
        <f t="shared" si="1"/>
        <v>#DIV/0!</v>
      </c>
      <c r="G51" s="434"/>
      <c r="H51" s="434"/>
      <c r="I51" s="448"/>
      <c r="J51" s="434"/>
      <c r="K51" s="434"/>
      <c r="L51" s="434"/>
      <c r="M51" s="435"/>
      <c r="N51" s="435"/>
      <c r="O51" s="435"/>
      <c r="P51" s="435"/>
      <c r="Q51" s="434"/>
      <c r="R51" s="434"/>
      <c r="S51" s="434"/>
      <c r="T51" s="435"/>
      <c r="U51" s="435"/>
      <c r="V51" s="435"/>
      <c r="W51" s="435"/>
      <c r="X51" s="435"/>
      <c r="Y51" s="435"/>
      <c r="Z51" s="435"/>
      <c r="AA51" s="435">
        <f t="shared" si="8"/>
        <v>0</v>
      </c>
      <c r="AB51" s="348">
        <f t="shared" si="9"/>
        <v>0</v>
      </c>
      <c r="AC51" s="356" t="e">
        <f t="shared" si="7"/>
        <v>#DIV/0!</v>
      </c>
    </row>
    <row r="52" spans="1:33" hidden="1" x14ac:dyDescent="0.25">
      <c r="A52" s="449"/>
      <c r="B52" s="446">
        <v>714552</v>
      </c>
      <c r="C52" s="447" t="s">
        <v>3707</v>
      </c>
      <c r="D52" s="434">
        <v>0</v>
      </c>
      <c r="E52" s="700"/>
      <c r="F52" s="701" t="e">
        <f t="shared" si="1"/>
        <v>#DIV/0!</v>
      </c>
      <c r="G52" s="434"/>
      <c r="H52" s="434"/>
      <c r="I52" s="448"/>
      <c r="J52" s="434"/>
      <c r="K52" s="434"/>
      <c r="L52" s="434"/>
      <c r="M52" s="435"/>
      <c r="N52" s="435"/>
      <c r="O52" s="435"/>
      <c r="P52" s="435"/>
      <c r="Q52" s="434"/>
      <c r="R52" s="434"/>
      <c r="S52" s="434"/>
      <c r="T52" s="435"/>
      <c r="U52" s="435"/>
      <c r="V52" s="435"/>
      <c r="W52" s="435"/>
      <c r="X52" s="435"/>
      <c r="Y52" s="435"/>
      <c r="Z52" s="435"/>
      <c r="AA52" s="435">
        <f t="shared" si="8"/>
        <v>0</v>
      </c>
      <c r="AB52" s="348">
        <f t="shared" si="9"/>
        <v>0</v>
      </c>
      <c r="AC52" s="356" t="e">
        <f t="shared" si="7"/>
        <v>#DIV/0!</v>
      </c>
    </row>
    <row r="53" spans="1:33" ht="24" x14ac:dyDescent="0.25">
      <c r="A53" s="450"/>
      <c r="B53" s="446">
        <v>714562</v>
      </c>
      <c r="C53" s="447" t="s">
        <v>3708</v>
      </c>
      <c r="D53" s="434">
        <f>689232+1500000+875000</f>
        <v>3064232</v>
      </c>
      <c r="E53" s="700">
        <v>1390396.81</v>
      </c>
      <c r="F53" s="701">
        <f t="shared" si="1"/>
        <v>0.45375050257291227</v>
      </c>
      <c r="G53" s="434"/>
      <c r="H53" s="434"/>
      <c r="I53" s="448"/>
      <c r="J53" s="434"/>
      <c r="K53" s="434"/>
      <c r="L53" s="434"/>
      <c r="M53" s="435"/>
      <c r="N53" s="435"/>
      <c r="O53" s="435"/>
      <c r="P53" s="435"/>
      <c r="Q53" s="434"/>
      <c r="R53" s="434"/>
      <c r="S53" s="434"/>
      <c r="T53" s="435"/>
      <c r="U53" s="435"/>
      <c r="V53" s="435"/>
      <c r="W53" s="435"/>
      <c r="X53" s="435"/>
      <c r="Y53" s="435"/>
      <c r="Z53" s="435"/>
      <c r="AA53" s="435">
        <f t="shared" si="8"/>
        <v>3064232</v>
      </c>
      <c r="AB53" s="348">
        <f t="shared" si="9"/>
        <v>1390396.81</v>
      </c>
      <c r="AC53" s="356">
        <f t="shared" si="7"/>
        <v>0.45375050257291227</v>
      </c>
    </row>
    <row r="54" spans="1:33" ht="24" hidden="1" x14ac:dyDescent="0.25">
      <c r="A54" s="136"/>
      <c r="B54" s="160">
        <v>714572</v>
      </c>
      <c r="C54" s="134" t="s">
        <v>3709</v>
      </c>
      <c r="D54" s="335"/>
      <c r="E54" s="707"/>
      <c r="F54" s="708" t="e">
        <f t="shared" si="1"/>
        <v>#DIV/0!</v>
      </c>
      <c r="G54" s="335"/>
      <c r="H54" s="335"/>
      <c r="I54" s="342"/>
      <c r="J54" s="335"/>
      <c r="K54" s="335"/>
      <c r="L54" s="335"/>
      <c r="M54" s="368"/>
      <c r="N54" s="368"/>
      <c r="O54" s="368"/>
      <c r="P54" s="368"/>
      <c r="Q54" s="335"/>
      <c r="R54" s="335"/>
      <c r="S54" s="335"/>
      <c r="T54" s="368"/>
      <c r="U54" s="368"/>
      <c r="V54" s="368"/>
      <c r="W54" s="368"/>
      <c r="X54" s="368"/>
      <c r="Y54" s="368"/>
      <c r="Z54" s="368"/>
      <c r="AA54" s="368">
        <f>SUM(G54,D54)</f>
        <v>0</v>
      </c>
      <c r="AB54" s="348"/>
      <c r="AC54" s="356" t="e">
        <f t="shared" si="7"/>
        <v>#DIV/0!</v>
      </c>
    </row>
    <row r="55" spans="1:33" x14ac:dyDescent="0.25">
      <c r="A55" s="483" t="s">
        <v>2390</v>
      </c>
      <c r="B55" s="477"/>
      <c r="C55" s="478" t="s">
        <v>3710</v>
      </c>
      <c r="D55" s="479">
        <f>SUM(D56:D57)</f>
        <v>8797139</v>
      </c>
      <c r="E55" s="353">
        <f>SUM(E56:E57)</f>
        <v>5251216</v>
      </c>
      <c r="F55" s="340">
        <f t="shared" si="1"/>
        <v>0.59692315876786761</v>
      </c>
      <c r="G55" s="479">
        <f>SUM(G56:G57)</f>
        <v>0</v>
      </c>
      <c r="H55" s="479">
        <f>SUM(H56:H57)</f>
        <v>0</v>
      </c>
      <c r="I55" s="480"/>
      <c r="J55" s="479">
        <f>SUM(J56:J57)</f>
        <v>0</v>
      </c>
      <c r="K55" s="479">
        <f>SUM(K56:K57)</f>
        <v>0</v>
      </c>
      <c r="L55" s="479"/>
      <c r="M55" s="482"/>
      <c r="N55" s="482"/>
      <c r="O55" s="482"/>
      <c r="P55" s="482"/>
      <c r="Q55" s="479">
        <f>SUM(Q56:Q57)</f>
        <v>0</v>
      </c>
      <c r="R55" s="479">
        <f>SUM(R56:R57)</f>
        <v>0</v>
      </c>
      <c r="S55" s="479"/>
      <c r="T55" s="482"/>
      <c r="U55" s="482"/>
      <c r="V55" s="482"/>
      <c r="W55" s="482"/>
      <c r="X55" s="482"/>
      <c r="Y55" s="482"/>
      <c r="Z55" s="482"/>
      <c r="AA55" s="482">
        <f>SUM(AA56:AA57)</f>
        <v>8797139</v>
      </c>
      <c r="AB55" s="526">
        <f>SUM(AB56:AB57)</f>
        <v>5251216</v>
      </c>
      <c r="AC55" s="527">
        <f t="shared" si="7"/>
        <v>0.59692315876786761</v>
      </c>
    </row>
    <row r="56" spans="1:33" ht="24" x14ac:dyDescent="0.25">
      <c r="A56" s="450"/>
      <c r="B56" s="450" t="s">
        <v>2394</v>
      </c>
      <c r="C56" s="447" t="s">
        <v>3711</v>
      </c>
      <c r="D56" s="434">
        <f>5946639+2500000+250500+100000</f>
        <v>8797139</v>
      </c>
      <c r="E56" s="700">
        <v>5251216</v>
      </c>
      <c r="F56" s="701">
        <f t="shared" si="1"/>
        <v>0.59692315876786761</v>
      </c>
      <c r="G56" s="434"/>
      <c r="H56" s="434"/>
      <c r="I56" s="448"/>
      <c r="J56" s="434"/>
      <c r="K56" s="434"/>
      <c r="L56" s="434"/>
      <c r="M56" s="435"/>
      <c r="N56" s="435"/>
      <c r="O56" s="435"/>
      <c r="P56" s="435"/>
      <c r="Q56" s="434"/>
      <c r="R56" s="434"/>
      <c r="S56" s="434"/>
      <c r="T56" s="435"/>
      <c r="U56" s="435"/>
      <c r="V56" s="435"/>
      <c r="W56" s="435"/>
      <c r="X56" s="435"/>
      <c r="Y56" s="435"/>
      <c r="Z56" s="435"/>
      <c r="AA56" s="435">
        <f>SUM(G56,D56,J56,M56,W56)</f>
        <v>8797139</v>
      </c>
      <c r="AB56" s="348">
        <f>SUM(H56,E56,K56,R56)</f>
        <v>5251216</v>
      </c>
      <c r="AC56" s="356">
        <f t="shared" si="7"/>
        <v>0.59692315876786761</v>
      </c>
    </row>
    <row r="57" spans="1:33" ht="60" hidden="1" x14ac:dyDescent="0.25">
      <c r="A57" s="450"/>
      <c r="B57" s="450" t="s">
        <v>4826</v>
      </c>
      <c r="C57" s="447" t="s">
        <v>4839</v>
      </c>
      <c r="D57" s="434"/>
      <c r="E57" s="700">
        <v>0</v>
      </c>
      <c r="F57" s="701" t="e">
        <f t="shared" si="1"/>
        <v>#DIV/0!</v>
      </c>
      <c r="G57" s="434"/>
      <c r="H57" s="434"/>
      <c r="I57" s="448"/>
      <c r="J57" s="434"/>
      <c r="K57" s="434"/>
      <c r="L57" s="434"/>
      <c r="M57" s="435"/>
      <c r="N57" s="435"/>
      <c r="O57" s="435"/>
      <c r="P57" s="435"/>
      <c r="Q57" s="434"/>
      <c r="R57" s="434"/>
      <c r="S57" s="434"/>
      <c r="T57" s="435"/>
      <c r="U57" s="435"/>
      <c r="V57" s="435"/>
      <c r="W57" s="435"/>
      <c r="X57" s="435"/>
      <c r="Y57" s="435"/>
      <c r="Z57" s="435"/>
      <c r="AA57" s="435">
        <f>SUM(G57,D57,J57,M57,W57)</f>
        <v>0</v>
      </c>
      <c r="AB57" s="348">
        <f>SUM(H57,E57,K57,R57)</f>
        <v>0</v>
      </c>
      <c r="AC57" s="356"/>
      <c r="AF57" s="616">
        <v>211607513.31999999</v>
      </c>
      <c r="AG57" s="616">
        <v>104651054.94</v>
      </c>
    </row>
    <row r="58" spans="1:33" x14ac:dyDescent="0.25">
      <c r="A58" s="484" t="s">
        <v>2597</v>
      </c>
      <c r="B58" s="485"/>
      <c r="C58" s="486" t="s">
        <v>3712</v>
      </c>
      <c r="D58" s="487">
        <f>SUM(D59,D62)</f>
        <v>198117049</v>
      </c>
      <c r="E58" s="488">
        <f>SUM(E59,E62)</f>
        <v>148587786</v>
      </c>
      <c r="F58" s="489">
        <f t="shared" si="1"/>
        <v>0.74999999621435909</v>
      </c>
      <c r="G58" s="487">
        <f>SUM(G59,G62)</f>
        <v>0</v>
      </c>
      <c r="H58" s="487">
        <f>SUM(H59,H62)</f>
        <v>0</v>
      </c>
      <c r="I58" s="490"/>
      <c r="J58" s="487">
        <f>SUM(J59,J62)</f>
        <v>75844473.390000001</v>
      </c>
      <c r="K58" s="487">
        <f>SUM(K59,K62)</f>
        <v>35198581.409999996</v>
      </c>
      <c r="L58" s="490">
        <f>K58/J58</f>
        <v>0.46408894197215017</v>
      </c>
      <c r="M58" s="491">
        <f>SUM(M59)</f>
        <v>7900000</v>
      </c>
      <c r="N58" s="491">
        <f>SUM(N59)</f>
        <v>3609824.11</v>
      </c>
      <c r="O58" s="544">
        <f>N58/M58</f>
        <v>0.45693976075949366</v>
      </c>
      <c r="P58" s="544"/>
      <c r="Q58" s="487">
        <f>SUM(Q59,Q62)</f>
        <v>0</v>
      </c>
      <c r="R58" s="487">
        <f>SUM(R59,R62)</f>
        <v>0</v>
      </c>
      <c r="S58" s="487"/>
      <c r="T58" s="491"/>
      <c r="U58" s="491"/>
      <c r="V58" s="491"/>
      <c r="W58" s="491"/>
      <c r="X58" s="491"/>
      <c r="Y58" s="491"/>
      <c r="Z58" s="491">
        <f>SUM(Z59)</f>
        <v>1610000</v>
      </c>
      <c r="AA58" s="491">
        <f>SUM(AA59,AA62)</f>
        <v>283471522.38999999</v>
      </c>
      <c r="AB58" s="525">
        <f>SUM(AB59,AB62)</f>
        <v>187396191.52000001</v>
      </c>
      <c r="AC58" s="532">
        <f t="shared" si="7"/>
        <v>0.66107589905338149</v>
      </c>
    </row>
    <row r="59" spans="1:33" ht="24" x14ac:dyDescent="0.25">
      <c r="A59" s="483" t="s">
        <v>2622</v>
      </c>
      <c r="B59" s="477"/>
      <c r="C59" s="478" t="s">
        <v>3713</v>
      </c>
      <c r="D59" s="479">
        <f>SUM(D60)</f>
        <v>0</v>
      </c>
      <c r="E59" s="353">
        <f>SUM(E60)</f>
        <v>0</v>
      </c>
      <c r="F59" s="340" t="e">
        <f t="shared" si="1"/>
        <v>#DIV/0!</v>
      </c>
      <c r="G59" s="479">
        <f>SUM(G60)</f>
        <v>0</v>
      </c>
      <c r="H59" s="479">
        <f>SUM(H60)</f>
        <v>0</v>
      </c>
      <c r="I59" s="480"/>
      <c r="J59" s="479">
        <f>SUM(J60)</f>
        <v>0</v>
      </c>
      <c r="K59" s="479">
        <f>SUM(K60)</f>
        <v>0</v>
      </c>
      <c r="L59" s="480" t="e">
        <f>K59/J59</f>
        <v>#DIV/0!</v>
      </c>
      <c r="M59" s="482">
        <f>SUM(M60)</f>
        <v>7900000</v>
      </c>
      <c r="N59" s="482">
        <f>SUM(N60)</f>
        <v>3609824.11</v>
      </c>
      <c r="O59" s="481">
        <f>N59/M59</f>
        <v>0.45693976075949366</v>
      </c>
      <c r="P59" s="481"/>
      <c r="Q59" s="479">
        <f>SUM(Q60)</f>
        <v>0</v>
      </c>
      <c r="R59" s="479">
        <f>SUM(R60)</f>
        <v>0</v>
      </c>
      <c r="S59" s="479"/>
      <c r="T59" s="482"/>
      <c r="U59" s="482"/>
      <c r="V59" s="482"/>
      <c r="W59" s="482"/>
      <c r="X59" s="482"/>
      <c r="Y59" s="482"/>
      <c r="Z59" s="482">
        <f>SUM(Z61)</f>
        <v>1610000</v>
      </c>
      <c r="AA59" s="482">
        <f>SUM(AA60:AA61)</f>
        <v>9510000</v>
      </c>
      <c r="AB59" s="526">
        <f>SUM(AB60)</f>
        <v>3609824.11</v>
      </c>
      <c r="AC59" s="527">
        <f t="shared" si="7"/>
        <v>0.37958192534174551</v>
      </c>
    </row>
    <row r="60" spans="1:33" ht="24" x14ac:dyDescent="0.25">
      <c r="A60" s="450"/>
      <c r="B60" s="450" t="s">
        <v>5090</v>
      </c>
      <c r="C60" s="452" t="s">
        <v>5091</v>
      </c>
      <c r="D60" s="434"/>
      <c r="E60" s="700"/>
      <c r="F60" s="701"/>
      <c r="G60" s="434"/>
      <c r="H60" s="434"/>
      <c r="I60" s="448"/>
      <c r="J60" s="434"/>
      <c r="K60" s="434"/>
      <c r="L60" s="448"/>
      <c r="M60" s="435">
        <v>7900000</v>
      </c>
      <c r="N60" s="435">
        <v>3609824.11</v>
      </c>
      <c r="O60" s="455">
        <f>N60/M60</f>
        <v>0.45693976075949366</v>
      </c>
      <c r="P60" s="455"/>
      <c r="Q60" s="434"/>
      <c r="R60" s="434"/>
      <c r="S60" s="434"/>
      <c r="T60" s="435"/>
      <c r="U60" s="435"/>
      <c r="V60" s="435"/>
      <c r="W60" s="435"/>
      <c r="X60" s="435"/>
      <c r="Y60" s="435"/>
      <c r="Z60" s="435"/>
      <c r="AA60" s="435">
        <f>SUM(G60,D60,J60,M60,W60)</f>
        <v>7900000</v>
      </c>
      <c r="AB60" s="576">
        <f>SUM(H60,E60,K60,R60,N60)</f>
        <v>3609824.11</v>
      </c>
      <c r="AC60" s="577">
        <f t="shared" si="7"/>
        <v>0.45693976075949366</v>
      </c>
    </row>
    <row r="61" spans="1:33" ht="24" x14ac:dyDescent="0.25">
      <c r="A61" s="454"/>
      <c r="B61" s="454" t="s">
        <v>5483</v>
      </c>
      <c r="C61" s="547" t="s">
        <v>5484</v>
      </c>
      <c r="D61" s="435"/>
      <c r="E61" s="711"/>
      <c r="F61" s="712"/>
      <c r="G61" s="435"/>
      <c r="H61" s="435"/>
      <c r="I61" s="455"/>
      <c r="J61" s="435"/>
      <c r="K61" s="435"/>
      <c r="L61" s="455"/>
      <c r="M61" s="435"/>
      <c r="N61" s="435"/>
      <c r="O61" s="455"/>
      <c r="P61" s="455"/>
      <c r="Q61" s="435"/>
      <c r="R61" s="435"/>
      <c r="S61" s="435"/>
      <c r="T61" s="435"/>
      <c r="U61" s="435"/>
      <c r="V61" s="435"/>
      <c r="W61" s="435"/>
      <c r="X61" s="435"/>
      <c r="Y61" s="435"/>
      <c r="Z61" s="435">
        <v>1610000</v>
      </c>
      <c r="AA61" s="435">
        <f>SUM(Z61)</f>
        <v>1610000</v>
      </c>
      <c r="AB61" s="576"/>
      <c r="AC61" s="577"/>
    </row>
    <row r="62" spans="1:33" ht="24" x14ac:dyDescent="0.25">
      <c r="A62" s="483" t="s">
        <v>2646</v>
      </c>
      <c r="B62" s="477"/>
      <c r="C62" s="478" t="s">
        <v>3714</v>
      </c>
      <c r="D62" s="479">
        <f>SUM(D63:D69)</f>
        <v>198117049</v>
      </c>
      <c r="E62" s="353">
        <f>SUM(E63:E69)</f>
        <v>148587786</v>
      </c>
      <c r="F62" s="340">
        <f>E62/D62</f>
        <v>0.74999999621435909</v>
      </c>
      <c r="G62" s="479">
        <f>SUM(G63:G69)</f>
        <v>0</v>
      </c>
      <c r="H62" s="479">
        <f>SUM(H63:H69)</f>
        <v>0</v>
      </c>
      <c r="I62" s="480"/>
      <c r="J62" s="479">
        <f>SUM(J63:J69)</f>
        <v>75844473.390000001</v>
      </c>
      <c r="K62" s="479">
        <f>SUM(K63:K69)</f>
        <v>35198581.409999996</v>
      </c>
      <c r="L62" s="480">
        <f>K62/J62</f>
        <v>0.46408894197215017</v>
      </c>
      <c r="M62" s="481"/>
      <c r="N62" s="481"/>
      <c r="O62" s="481"/>
      <c r="P62" s="481"/>
      <c r="Q62" s="479">
        <f>SUM(Q63:Q69)</f>
        <v>0</v>
      </c>
      <c r="R62" s="479">
        <f>SUM(R63:R69)</f>
        <v>0</v>
      </c>
      <c r="S62" s="479"/>
      <c r="T62" s="482"/>
      <c r="U62" s="482"/>
      <c r="V62" s="482"/>
      <c r="W62" s="482"/>
      <c r="X62" s="482"/>
      <c r="Y62" s="482"/>
      <c r="Z62" s="482"/>
      <c r="AA62" s="482">
        <f>SUM(AA63:AA69)</f>
        <v>273961522.38999999</v>
      </c>
      <c r="AB62" s="526">
        <f>SUM(AB63:AB69)</f>
        <v>183786367.41</v>
      </c>
      <c r="AC62" s="527">
        <f t="shared" si="7"/>
        <v>0.67084737231226776</v>
      </c>
    </row>
    <row r="63" spans="1:33" ht="24.75" hidden="1" x14ac:dyDescent="0.25">
      <c r="A63" s="138"/>
      <c r="B63" s="139">
        <v>733141</v>
      </c>
      <c r="C63" s="333" t="s">
        <v>3715</v>
      </c>
      <c r="D63" s="335"/>
      <c r="E63" s="707"/>
      <c r="F63" s="708" t="e">
        <f t="shared" si="1"/>
        <v>#DIV/0!</v>
      </c>
      <c r="G63" s="335"/>
      <c r="H63" s="335"/>
      <c r="I63" s="342"/>
      <c r="J63" s="335"/>
      <c r="K63" s="335"/>
      <c r="L63" s="342">
        <v>0</v>
      </c>
      <c r="M63" s="433"/>
      <c r="N63" s="433"/>
      <c r="O63" s="433"/>
      <c r="P63" s="433"/>
      <c r="Q63" s="335"/>
      <c r="R63" s="335"/>
      <c r="S63" s="335"/>
      <c r="T63" s="368"/>
      <c r="U63" s="368"/>
      <c r="V63" s="368"/>
      <c r="W63" s="368"/>
      <c r="X63" s="368"/>
      <c r="Y63" s="368"/>
      <c r="Z63" s="368"/>
      <c r="AA63" s="368">
        <f>SUM(G63,D63)</f>
        <v>0</v>
      </c>
      <c r="AB63" s="348"/>
      <c r="AC63" s="356" t="e">
        <f t="shared" si="7"/>
        <v>#DIV/0!</v>
      </c>
    </row>
    <row r="64" spans="1:33" ht="24.75" x14ac:dyDescent="0.25">
      <c r="A64" s="138"/>
      <c r="B64" s="139">
        <v>733151</v>
      </c>
      <c r="C64" s="333" t="s">
        <v>4840</v>
      </c>
      <c r="D64" s="335">
        <v>198117049</v>
      </c>
      <c r="E64" s="700">
        <f>140238103.42+8349682.58</f>
        <v>148587786</v>
      </c>
      <c r="F64" s="708">
        <f t="shared" si="1"/>
        <v>0.74999999621435909</v>
      </c>
      <c r="G64" s="335"/>
      <c r="H64" s="335"/>
      <c r="I64" s="342"/>
      <c r="J64" s="335"/>
      <c r="K64" s="434">
        <v>0</v>
      </c>
      <c r="L64" s="342">
        <v>0</v>
      </c>
      <c r="M64" s="433"/>
      <c r="N64" s="433"/>
      <c r="O64" s="433"/>
      <c r="P64" s="433"/>
      <c r="Q64" s="335"/>
      <c r="R64" s="335"/>
      <c r="S64" s="335"/>
      <c r="T64" s="368"/>
      <c r="U64" s="368"/>
      <c r="V64" s="368"/>
      <c r="W64" s="368"/>
      <c r="X64" s="368"/>
      <c r="Y64" s="368"/>
      <c r="Z64" s="368"/>
      <c r="AA64" s="368">
        <f>SUM(G64,D64,J64,M64,W64)</f>
        <v>198117049</v>
      </c>
      <c r="AB64" s="348">
        <f>SUM(H64,E64,K64,R64)</f>
        <v>148587786</v>
      </c>
      <c r="AC64" s="356">
        <f t="shared" si="7"/>
        <v>0.74999999621435909</v>
      </c>
    </row>
    <row r="65" spans="1:29" ht="24.75" hidden="1" x14ac:dyDescent="0.25">
      <c r="A65" s="138"/>
      <c r="B65" s="139">
        <v>733152</v>
      </c>
      <c r="C65" s="352" t="s">
        <v>4841</v>
      </c>
      <c r="D65" s="335"/>
      <c r="E65" s="700">
        <v>0</v>
      </c>
      <c r="F65" s="708"/>
      <c r="G65" s="335"/>
      <c r="H65" s="335"/>
      <c r="I65" s="342"/>
      <c r="J65" s="335"/>
      <c r="K65" s="434"/>
      <c r="L65" s="335"/>
      <c r="M65" s="368"/>
      <c r="N65" s="368"/>
      <c r="O65" s="368"/>
      <c r="P65" s="368"/>
      <c r="Q65" s="335"/>
      <c r="R65" s="335"/>
      <c r="S65" s="335"/>
      <c r="T65" s="368"/>
      <c r="U65" s="368"/>
      <c r="V65" s="368"/>
      <c r="W65" s="368"/>
      <c r="X65" s="368"/>
      <c r="Y65" s="368"/>
      <c r="Z65" s="368"/>
      <c r="AA65" s="368">
        <f>SUM(G65,D65,J65,M65,W65)</f>
        <v>0</v>
      </c>
      <c r="AB65" s="348">
        <f>SUM(H65,E65,K65,R65)</f>
        <v>0</v>
      </c>
      <c r="AC65" s="356"/>
    </row>
    <row r="66" spans="1:29" ht="36.75" x14ac:dyDescent="0.25">
      <c r="A66" s="138"/>
      <c r="B66" s="139">
        <v>733154</v>
      </c>
      <c r="C66" s="333" t="s">
        <v>4842</v>
      </c>
      <c r="D66" s="434"/>
      <c r="E66" s="700">
        <v>0</v>
      </c>
      <c r="F66" s="708" t="e">
        <f t="shared" si="1"/>
        <v>#DIV/0!</v>
      </c>
      <c r="G66" s="335"/>
      <c r="H66" s="335"/>
      <c r="I66" s="342"/>
      <c r="J66" s="335">
        <f>12500000+10620355+470000+5000000</f>
        <v>28590355</v>
      </c>
      <c r="K66" s="434">
        <v>32088156.41</v>
      </c>
      <c r="L66" s="342">
        <f>K66/J66</f>
        <v>1.1223420069460488</v>
      </c>
      <c r="M66" s="433"/>
      <c r="N66" s="433"/>
      <c r="O66" s="433"/>
      <c r="P66" s="433"/>
      <c r="Q66" s="335"/>
      <c r="R66" s="335"/>
      <c r="S66" s="335"/>
      <c r="T66" s="368"/>
      <c r="U66" s="368"/>
      <c r="V66" s="368"/>
      <c r="W66" s="368"/>
      <c r="X66" s="368"/>
      <c r="Y66" s="368"/>
      <c r="Z66" s="368"/>
      <c r="AA66" s="368">
        <f>SUM(G66,D66,J66,M66,W66)</f>
        <v>28590355</v>
      </c>
      <c r="AB66" s="348">
        <f>SUM(H66,E66,K66,R66)</f>
        <v>32088156.41</v>
      </c>
      <c r="AC66" s="356">
        <f t="shared" si="7"/>
        <v>1.1223420069460488</v>
      </c>
    </row>
    <row r="67" spans="1:29" ht="36.75" x14ac:dyDescent="0.25">
      <c r="A67" s="138"/>
      <c r="B67" s="605">
        <v>733251</v>
      </c>
      <c r="C67" s="333" t="s">
        <v>5101</v>
      </c>
      <c r="D67" s="434"/>
      <c r="E67" s="707">
        <v>0</v>
      </c>
      <c r="F67" s="708"/>
      <c r="G67" s="335"/>
      <c r="H67" s="335"/>
      <c r="I67" s="342"/>
      <c r="J67" s="335">
        <f>50000000-8000000-7000000+12100391+153727.39</f>
        <v>47254118.390000001</v>
      </c>
      <c r="K67" s="335">
        <v>3110425</v>
      </c>
      <c r="L67" s="335"/>
      <c r="M67" s="368"/>
      <c r="N67" s="368"/>
      <c r="O67" s="368"/>
      <c r="P67" s="368"/>
      <c r="Q67" s="335"/>
      <c r="R67" s="335"/>
      <c r="S67" s="335"/>
      <c r="T67" s="368"/>
      <c r="U67" s="368"/>
      <c r="V67" s="368"/>
      <c r="W67" s="368"/>
      <c r="X67" s="368"/>
      <c r="Y67" s="368"/>
      <c r="Z67" s="368"/>
      <c r="AA67" s="368">
        <f>SUM(G67,D67,J67,M67,W67)</f>
        <v>47254118.390000001</v>
      </c>
      <c r="AB67" s="348">
        <f>SUM(H67,E67,K67,R67)</f>
        <v>3110425</v>
      </c>
      <c r="AC67" s="356"/>
    </row>
    <row r="68" spans="1:29" ht="36" hidden="1" x14ac:dyDescent="0.25">
      <c r="A68" s="138"/>
      <c r="B68" s="136" t="s">
        <v>2661</v>
      </c>
      <c r="C68" s="137" t="s">
        <v>3716</v>
      </c>
      <c r="D68" s="335"/>
      <c r="E68" s="707"/>
      <c r="F68" s="708" t="e">
        <f t="shared" si="1"/>
        <v>#DIV/0!</v>
      </c>
      <c r="G68" s="335"/>
      <c r="H68" s="335"/>
      <c r="I68" s="342"/>
      <c r="J68" s="335"/>
      <c r="K68" s="335"/>
      <c r="L68" s="335"/>
      <c r="M68" s="368"/>
      <c r="N68" s="368"/>
      <c r="O68" s="368"/>
      <c r="P68" s="368"/>
      <c r="Q68" s="335"/>
      <c r="R68" s="335"/>
      <c r="S68" s="335"/>
      <c r="T68" s="368"/>
      <c r="U68" s="368"/>
      <c r="V68" s="368"/>
      <c r="W68" s="368"/>
      <c r="X68" s="368"/>
      <c r="Y68" s="368"/>
      <c r="Z68" s="368"/>
      <c r="AA68" s="368">
        <f>SUM(G68,D68)</f>
        <v>0</v>
      </c>
      <c r="AB68" s="348"/>
      <c r="AC68" s="356" t="e">
        <f t="shared" si="7"/>
        <v>#DIV/0!</v>
      </c>
    </row>
    <row r="69" spans="1:29" ht="24" hidden="1" x14ac:dyDescent="0.25">
      <c r="A69" s="138"/>
      <c r="B69" s="136" t="s">
        <v>2696</v>
      </c>
      <c r="C69" s="137" t="s">
        <v>3717</v>
      </c>
      <c r="D69" s="335"/>
      <c r="E69" s="707"/>
      <c r="F69" s="708" t="e">
        <f t="shared" si="1"/>
        <v>#DIV/0!</v>
      </c>
      <c r="G69" s="335"/>
      <c r="H69" s="335"/>
      <c r="I69" s="342"/>
      <c r="J69" s="335"/>
      <c r="K69" s="335"/>
      <c r="L69" s="335"/>
      <c r="M69" s="368"/>
      <c r="N69" s="368"/>
      <c r="O69" s="368"/>
      <c r="P69" s="368"/>
      <c r="Q69" s="335"/>
      <c r="R69" s="335"/>
      <c r="S69" s="335"/>
      <c r="T69" s="368"/>
      <c r="U69" s="368"/>
      <c r="V69" s="368"/>
      <c r="W69" s="368"/>
      <c r="X69" s="368"/>
      <c r="Y69" s="368"/>
      <c r="Z69" s="368"/>
      <c r="AA69" s="368">
        <f>SUM(G69,D69)</f>
        <v>0</v>
      </c>
      <c r="AB69" s="348"/>
      <c r="AC69" s="356" t="e">
        <f t="shared" si="7"/>
        <v>#DIV/0!</v>
      </c>
    </row>
    <row r="70" spans="1:29" x14ac:dyDescent="0.25">
      <c r="A70" s="484" t="s">
        <v>2706</v>
      </c>
      <c r="B70" s="485"/>
      <c r="C70" s="486" t="s">
        <v>3718</v>
      </c>
      <c r="D70" s="487">
        <f>SUM(D71,D86,D98,D102,D106)</f>
        <v>27455052</v>
      </c>
      <c r="E70" s="488">
        <f>SUM(E71,E86,E98,E102,E106)</f>
        <v>13701447.380000001</v>
      </c>
      <c r="F70" s="489">
        <f t="shared" si="1"/>
        <v>0.49905013401540821</v>
      </c>
      <c r="G70" s="487">
        <f>SUM(G71,G86,G98,G102,G106)</f>
        <v>827000</v>
      </c>
      <c r="H70" s="487">
        <f>SUM(H71,H86,H98,H102,H106)</f>
        <v>510521.67000000004</v>
      </c>
      <c r="I70" s="490">
        <f>H70/G70</f>
        <v>0.6173176178960097</v>
      </c>
      <c r="J70" s="487">
        <f>SUM(J71,J86,J98,J102,J106)</f>
        <v>0</v>
      </c>
      <c r="K70" s="487">
        <f>SUM(K71,K86,K98,K102,K106)</f>
        <v>0</v>
      </c>
      <c r="L70" s="487"/>
      <c r="M70" s="491"/>
      <c r="N70" s="491"/>
      <c r="O70" s="491"/>
      <c r="P70" s="491"/>
      <c r="Q70" s="487">
        <f>SUM(Q71,Q86,Q98,Q102,Q106)</f>
        <v>0</v>
      </c>
      <c r="R70" s="487">
        <f>SUM(R71,R86,R98,R102,R106)</f>
        <v>0</v>
      </c>
      <c r="S70" s="487"/>
      <c r="T70" s="491"/>
      <c r="U70" s="491"/>
      <c r="V70" s="491"/>
      <c r="W70" s="491"/>
      <c r="X70" s="491"/>
      <c r="Y70" s="491"/>
      <c r="Z70" s="491"/>
      <c r="AA70" s="491">
        <f>SUM(AA71,AA86,AA98,AA102,AA106)</f>
        <v>29609052</v>
      </c>
      <c r="AB70" s="525">
        <f>SUM(AB71,AB86,AB98,AB102,AB106)</f>
        <v>15077471.110000001</v>
      </c>
      <c r="AC70" s="532">
        <f t="shared" si="7"/>
        <v>0.50921829952542896</v>
      </c>
    </row>
    <row r="71" spans="1:29" x14ac:dyDescent="0.25">
      <c r="A71" s="483" t="s">
        <v>2708</v>
      </c>
      <c r="B71" s="477"/>
      <c r="C71" s="478" t="s">
        <v>3719</v>
      </c>
      <c r="D71" s="479">
        <f>SUM(D72:D85)</f>
        <v>3057764</v>
      </c>
      <c r="E71" s="353">
        <f>SUM(E72:E85)</f>
        <v>2328420.5099999998</v>
      </c>
      <c r="F71" s="340">
        <f>E71/D71</f>
        <v>0.76147816182020578</v>
      </c>
      <c r="G71" s="479">
        <f>SUM(G72:G85)</f>
        <v>0</v>
      </c>
      <c r="H71" s="479">
        <f>SUM(H72:H85)</f>
        <v>0</v>
      </c>
      <c r="I71" s="480"/>
      <c r="J71" s="479">
        <f>SUM(J72:J85)</f>
        <v>0</v>
      </c>
      <c r="K71" s="479">
        <f>SUM(K72:K85)</f>
        <v>0</v>
      </c>
      <c r="L71" s="479"/>
      <c r="M71" s="482"/>
      <c r="N71" s="482"/>
      <c r="O71" s="482"/>
      <c r="P71" s="482"/>
      <c r="Q71" s="479">
        <f>SUM(Q72:Q85)</f>
        <v>0</v>
      </c>
      <c r="R71" s="479">
        <f>SUM(R72:R85)</f>
        <v>0</v>
      </c>
      <c r="S71" s="479"/>
      <c r="T71" s="482"/>
      <c r="U71" s="482"/>
      <c r="V71" s="482"/>
      <c r="W71" s="482"/>
      <c r="X71" s="482"/>
      <c r="Y71" s="482"/>
      <c r="Z71" s="482"/>
      <c r="AA71" s="482">
        <f>SUM(AA72:AA85)</f>
        <v>3057764</v>
      </c>
      <c r="AB71" s="526">
        <f>SUM(AB72:AB85)</f>
        <v>2328420.5099999998</v>
      </c>
      <c r="AC71" s="527">
        <f t="shared" si="7"/>
        <v>0.76147816182020578</v>
      </c>
    </row>
    <row r="72" spans="1:29" ht="36" hidden="1" x14ac:dyDescent="0.25">
      <c r="A72" s="138"/>
      <c r="B72" s="161" t="s">
        <v>2718</v>
      </c>
      <c r="C72" s="134" t="s">
        <v>3720</v>
      </c>
      <c r="D72" s="335"/>
      <c r="E72" s="707"/>
      <c r="F72" s="708" t="e">
        <f t="shared" si="1"/>
        <v>#DIV/0!</v>
      </c>
      <c r="G72" s="335"/>
      <c r="H72" s="335"/>
      <c r="I72" s="342"/>
      <c r="J72" s="335"/>
      <c r="K72" s="335"/>
      <c r="L72" s="335"/>
      <c r="M72" s="368"/>
      <c r="N72" s="368"/>
      <c r="O72" s="368"/>
      <c r="P72" s="368"/>
      <c r="Q72" s="335"/>
      <c r="R72" s="335"/>
      <c r="S72" s="335"/>
      <c r="T72" s="368"/>
      <c r="U72" s="368"/>
      <c r="V72" s="368"/>
      <c r="W72" s="368"/>
      <c r="X72" s="368"/>
      <c r="Y72" s="368"/>
      <c r="Z72" s="368"/>
      <c r="AA72" s="368">
        <f>SUM(G72,D72)</f>
        <v>0</v>
      </c>
      <c r="AB72" s="348"/>
      <c r="AC72" s="356" t="e">
        <f t="shared" si="7"/>
        <v>#DIV/0!</v>
      </c>
    </row>
    <row r="73" spans="1:29" ht="36" x14ac:dyDescent="0.25">
      <c r="A73" s="451"/>
      <c r="B73" s="450" t="s">
        <v>4845</v>
      </c>
      <c r="C73" s="447" t="s">
        <v>3720</v>
      </c>
      <c r="D73" s="434">
        <v>240044</v>
      </c>
      <c r="E73" s="700">
        <v>231713.21</v>
      </c>
      <c r="F73" s="701">
        <f t="shared" si="1"/>
        <v>0.96529473763143425</v>
      </c>
      <c r="G73" s="434"/>
      <c r="H73" s="434"/>
      <c r="I73" s="448"/>
      <c r="J73" s="434"/>
      <c r="K73" s="434"/>
      <c r="L73" s="434"/>
      <c r="M73" s="435"/>
      <c r="N73" s="435"/>
      <c r="O73" s="435"/>
      <c r="P73" s="435"/>
      <c r="Q73" s="434"/>
      <c r="R73" s="434"/>
      <c r="S73" s="434"/>
      <c r="T73" s="435"/>
      <c r="U73" s="435"/>
      <c r="V73" s="435"/>
      <c r="W73" s="435"/>
      <c r="X73" s="435"/>
      <c r="Y73" s="435"/>
      <c r="Z73" s="435"/>
      <c r="AA73" s="435">
        <f t="shared" ref="AA73:AA82" si="10">SUM(G73,D73,J73,M73,W73)</f>
        <v>240044</v>
      </c>
      <c r="AB73" s="348">
        <f t="shared" ref="AB73:AB82" si="11">SUM(H73,E73,K73,R73)</f>
        <v>231713.21</v>
      </c>
      <c r="AC73" s="356">
        <f t="shared" si="7"/>
        <v>0.96529473763143425</v>
      </c>
    </row>
    <row r="74" spans="1:29" ht="24" hidden="1" x14ac:dyDescent="0.25">
      <c r="A74" s="451"/>
      <c r="B74" s="450" t="s">
        <v>2747</v>
      </c>
      <c r="C74" s="452" t="s">
        <v>46</v>
      </c>
      <c r="D74" s="434">
        <v>0</v>
      </c>
      <c r="E74" s="700"/>
      <c r="F74" s="701" t="e">
        <f t="shared" si="1"/>
        <v>#DIV/0!</v>
      </c>
      <c r="G74" s="434"/>
      <c r="H74" s="434"/>
      <c r="I74" s="448"/>
      <c r="J74" s="434"/>
      <c r="K74" s="434"/>
      <c r="L74" s="434"/>
      <c r="M74" s="435"/>
      <c r="N74" s="435"/>
      <c r="O74" s="435"/>
      <c r="P74" s="435"/>
      <c r="Q74" s="434"/>
      <c r="R74" s="434"/>
      <c r="S74" s="434"/>
      <c r="T74" s="435"/>
      <c r="U74" s="435"/>
      <c r="V74" s="435"/>
      <c r="W74" s="435"/>
      <c r="X74" s="435"/>
      <c r="Y74" s="435"/>
      <c r="Z74" s="435"/>
      <c r="AA74" s="435">
        <f t="shared" si="10"/>
        <v>0</v>
      </c>
      <c r="AB74" s="348">
        <f t="shared" si="11"/>
        <v>0</v>
      </c>
      <c r="AC74" s="356" t="e">
        <f t="shared" si="7"/>
        <v>#DIV/0!</v>
      </c>
    </row>
    <row r="75" spans="1:29" ht="24" x14ac:dyDescent="0.25">
      <c r="A75" s="451"/>
      <c r="B75" s="450" t="s">
        <v>4861</v>
      </c>
      <c r="C75" s="452" t="s">
        <v>4862</v>
      </c>
      <c r="D75" s="434">
        <f>2056594+50000</f>
        <v>2106594</v>
      </c>
      <c r="E75" s="700">
        <v>1991280</v>
      </c>
      <c r="F75" s="701">
        <f t="shared" si="1"/>
        <v>0.94526045360425404</v>
      </c>
      <c r="G75" s="434"/>
      <c r="H75" s="434"/>
      <c r="I75" s="448"/>
      <c r="J75" s="434"/>
      <c r="K75" s="434"/>
      <c r="L75" s="434"/>
      <c r="M75" s="435"/>
      <c r="N75" s="435"/>
      <c r="O75" s="435"/>
      <c r="P75" s="435"/>
      <c r="Q75" s="434"/>
      <c r="R75" s="434"/>
      <c r="S75" s="434"/>
      <c r="T75" s="435"/>
      <c r="U75" s="435"/>
      <c r="V75" s="435"/>
      <c r="W75" s="435"/>
      <c r="X75" s="435"/>
      <c r="Y75" s="435"/>
      <c r="Z75" s="435"/>
      <c r="AA75" s="435">
        <f t="shared" si="10"/>
        <v>2106594</v>
      </c>
      <c r="AB75" s="348">
        <f t="shared" si="11"/>
        <v>1991280</v>
      </c>
      <c r="AC75" s="356"/>
    </row>
    <row r="76" spans="1:29" ht="24" hidden="1" x14ac:dyDescent="0.25">
      <c r="A76" s="451"/>
      <c r="B76" s="450" t="s">
        <v>2761</v>
      </c>
      <c r="C76" s="452" t="s">
        <v>42</v>
      </c>
      <c r="D76" s="434">
        <v>0</v>
      </c>
      <c r="E76" s="700"/>
      <c r="F76" s="701" t="e">
        <f t="shared" si="1"/>
        <v>#DIV/0!</v>
      </c>
      <c r="G76" s="434"/>
      <c r="H76" s="434"/>
      <c r="I76" s="448"/>
      <c r="J76" s="434"/>
      <c r="K76" s="434"/>
      <c r="L76" s="434"/>
      <c r="M76" s="435"/>
      <c r="N76" s="435"/>
      <c r="O76" s="435"/>
      <c r="P76" s="435"/>
      <c r="Q76" s="434"/>
      <c r="R76" s="434"/>
      <c r="S76" s="434"/>
      <c r="T76" s="435"/>
      <c r="U76" s="435"/>
      <c r="V76" s="435"/>
      <c r="W76" s="435"/>
      <c r="X76" s="435"/>
      <c r="Y76" s="435"/>
      <c r="Z76" s="435"/>
      <c r="AA76" s="435">
        <f t="shared" si="10"/>
        <v>0</v>
      </c>
      <c r="AB76" s="348">
        <f t="shared" si="11"/>
        <v>0</v>
      </c>
      <c r="AC76" s="356" t="e">
        <f t="shared" si="7"/>
        <v>#DIV/0!</v>
      </c>
    </row>
    <row r="77" spans="1:29" ht="48" x14ac:dyDescent="0.25">
      <c r="A77" s="451"/>
      <c r="B77" s="450" t="s">
        <v>4844</v>
      </c>
      <c r="C77" s="452" t="s">
        <v>4846</v>
      </c>
      <c r="D77" s="434">
        <f>441811+150000</f>
        <v>591811</v>
      </c>
      <c r="E77" s="700">
        <v>24222.53</v>
      </c>
      <c r="F77" s="701">
        <f t="shared" si="1"/>
        <v>4.0929502831140344E-2</v>
      </c>
      <c r="G77" s="434"/>
      <c r="H77" s="434"/>
      <c r="I77" s="448"/>
      <c r="J77" s="434"/>
      <c r="K77" s="434"/>
      <c r="L77" s="434"/>
      <c r="M77" s="435"/>
      <c r="N77" s="435"/>
      <c r="O77" s="435"/>
      <c r="P77" s="435"/>
      <c r="Q77" s="434"/>
      <c r="R77" s="434"/>
      <c r="S77" s="434"/>
      <c r="T77" s="435"/>
      <c r="U77" s="435"/>
      <c r="V77" s="435"/>
      <c r="W77" s="435"/>
      <c r="X77" s="435"/>
      <c r="Y77" s="435"/>
      <c r="Z77" s="435"/>
      <c r="AA77" s="435">
        <f t="shared" si="10"/>
        <v>591811</v>
      </c>
      <c r="AB77" s="348">
        <f t="shared" si="11"/>
        <v>24222.53</v>
      </c>
      <c r="AC77" s="356">
        <f t="shared" si="7"/>
        <v>4.0929502831140344E-2</v>
      </c>
    </row>
    <row r="78" spans="1:29" ht="24" x14ac:dyDescent="0.25">
      <c r="A78" s="451"/>
      <c r="B78" s="450" t="s">
        <v>4843</v>
      </c>
      <c r="C78" s="452" t="s">
        <v>4847</v>
      </c>
      <c r="D78" s="434">
        <v>109315</v>
      </c>
      <c r="E78" s="700">
        <v>98781.96</v>
      </c>
      <c r="F78" s="701">
        <f t="shared" si="1"/>
        <v>0.90364506243424969</v>
      </c>
      <c r="G78" s="434"/>
      <c r="H78" s="434"/>
      <c r="I78" s="448"/>
      <c r="J78" s="434"/>
      <c r="K78" s="434"/>
      <c r="L78" s="434"/>
      <c r="M78" s="435"/>
      <c r="N78" s="435"/>
      <c r="O78" s="435"/>
      <c r="P78" s="435"/>
      <c r="Q78" s="434"/>
      <c r="R78" s="434"/>
      <c r="S78" s="434"/>
      <c r="T78" s="435"/>
      <c r="U78" s="435"/>
      <c r="V78" s="435"/>
      <c r="W78" s="435"/>
      <c r="X78" s="435"/>
      <c r="Y78" s="435"/>
      <c r="Z78" s="435"/>
      <c r="AA78" s="435">
        <f t="shared" si="10"/>
        <v>109315</v>
      </c>
      <c r="AB78" s="348">
        <f t="shared" si="11"/>
        <v>98781.96</v>
      </c>
      <c r="AC78" s="356">
        <f t="shared" si="7"/>
        <v>0.90364506243424969</v>
      </c>
    </row>
    <row r="79" spans="1:29" ht="72" hidden="1" x14ac:dyDescent="0.25">
      <c r="A79" s="451"/>
      <c r="B79" s="450" t="s">
        <v>2773</v>
      </c>
      <c r="C79" s="452" t="s">
        <v>3721</v>
      </c>
      <c r="D79" s="434">
        <v>0</v>
      </c>
      <c r="E79" s="700">
        <v>-32648</v>
      </c>
      <c r="F79" s="701" t="e">
        <f t="shared" si="1"/>
        <v>#DIV/0!</v>
      </c>
      <c r="G79" s="434"/>
      <c r="H79" s="434"/>
      <c r="I79" s="448"/>
      <c r="J79" s="434"/>
      <c r="K79" s="434"/>
      <c r="L79" s="434"/>
      <c r="M79" s="435"/>
      <c r="N79" s="435"/>
      <c r="O79" s="435"/>
      <c r="P79" s="435"/>
      <c r="Q79" s="434"/>
      <c r="R79" s="434"/>
      <c r="S79" s="434"/>
      <c r="T79" s="435"/>
      <c r="U79" s="435"/>
      <c r="V79" s="435"/>
      <c r="W79" s="435"/>
      <c r="X79" s="435"/>
      <c r="Y79" s="435"/>
      <c r="Z79" s="435"/>
      <c r="AA79" s="435">
        <f t="shared" si="10"/>
        <v>0</v>
      </c>
      <c r="AB79" s="348">
        <f t="shared" si="11"/>
        <v>-32648</v>
      </c>
      <c r="AC79" s="356" t="e">
        <f t="shared" si="7"/>
        <v>#DIV/0!</v>
      </c>
    </row>
    <row r="80" spans="1:29" ht="48" hidden="1" x14ac:dyDescent="0.25">
      <c r="A80" s="451"/>
      <c r="B80" s="450" t="s">
        <v>2775</v>
      </c>
      <c r="C80" s="452" t="s">
        <v>3722</v>
      </c>
      <c r="D80" s="434">
        <v>0</v>
      </c>
      <c r="E80" s="700"/>
      <c r="F80" s="701" t="e">
        <f t="shared" si="1"/>
        <v>#DIV/0!</v>
      </c>
      <c r="G80" s="434"/>
      <c r="H80" s="434"/>
      <c r="I80" s="448"/>
      <c r="J80" s="434"/>
      <c r="K80" s="434"/>
      <c r="L80" s="434"/>
      <c r="M80" s="435"/>
      <c r="N80" s="435"/>
      <c r="O80" s="435"/>
      <c r="P80" s="435"/>
      <c r="Q80" s="434"/>
      <c r="R80" s="434"/>
      <c r="S80" s="434"/>
      <c r="T80" s="435"/>
      <c r="U80" s="435"/>
      <c r="V80" s="435"/>
      <c r="W80" s="435"/>
      <c r="X80" s="435"/>
      <c r="Y80" s="435"/>
      <c r="Z80" s="435"/>
      <c r="AA80" s="435">
        <f t="shared" si="10"/>
        <v>0</v>
      </c>
      <c r="AB80" s="348">
        <f t="shared" si="11"/>
        <v>0</v>
      </c>
      <c r="AC80" s="356" t="e">
        <f t="shared" si="7"/>
        <v>#DIV/0!</v>
      </c>
    </row>
    <row r="81" spans="1:29" ht="48" hidden="1" x14ac:dyDescent="0.25">
      <c r="A81" s="451"/>
      <c r="B81" s="450" t="s">
        <v>2777</v>
      </c>
      <c r="C81" s="452" t="s">
        <v>3723</v>
      </c>
      <c r="D81" s="434">
        <v>0</v>
      </c>
      <c r="E81" s="700"/>
      <c r="F81" s="701" t="e">
        <f t="shared" si="1"/>
        <v>#DIV/0!</v>
      </c>
      <c r="G81" s="434"/>
      <c r="H81" s="434"/>
      <c r="I81" s="448"/>
      <c r="J81" s="434"/>
      <c r="K81" s="434"/>
      <c r="L81" s="434"/>
      <c r="M81" s="435"/>
      <c r="N81" s="435"/>
      <c r="O81" s="435"/>
      <c r="P81" s="435"/>
      <c r="Q81" s="434"/>
      <c r="R81" s="434"/>
      <c r="S81" s="434"/>
      <c r="T81" s="435"/>
      <c r="U81" s="435"/>
      <c r="V81" s="435"/>
      <c r="W81" s="435"/>
      <c r="X81" s="435"/>
      <c r="Y81" s="435"/>
      <c r="Z81" s="435"/>
      <c r="AA81" s="435">
        <f t="shared" si="10"/>
        <v>0</v>
      </c>
      <c r="AB81" s="348">
        <f t="shared" si="11"/>
        <v>0</v>
      </c>
      <c r="AC81" s="356" t="e">
        <f t="shared" si="7"/>
        <v>#DIV/0!</v>
      </c>
    </row>
    <row r="82" spans="1:29" ht="24" x14ac:dyDescent="0.25">
      <c r="A82" s="451"/>
      <c r="B82" s="450" t="s">
        <v>2779</v>
      </c>
      <c r="C82" s="452" t="s">
        <v>43</v>
      </c>
      <c r="D82" s="434">
        <v>10000</v>
      </c>
      <c r="E82" s="700">
        <v>15070.81</v>
      </c>
      <c r="F82" s="701">
        <f t="shared" si="1"/>
        <v>1.5070809999999999</v>
      </c>
      <c r="G82" s="434"/>
      <c r="H82" s="434"/>
      <c r="I82" s="448"/>
      <c r="J82" s="434"/>
      <c r="K82" s="434"/>
      <c r="L82" s="434"/>
      <c r="M82" s="435"/>
      <c r="N82" s="435"/>
      <c r="O82" s="435"/>
      <c r="P82" s="435"/>
      <c r="Q82" s="434"/>
      <c r="R82" s="434"/>
      <c r="S82" s="434"/>
      <c r="T82" s="435"/>
      <c r="U82" s="435"/>
      <c r="V82" s="435"/>
      <c r="W82" s="435"/>
      <c r="X82" s="435"/>
      <c r="Y82" s="435"/>
      <c r="Z82" s="435"/>
      <c r="AA82" s="435">
        <f t="shared" si="10"/>
        <v>10000</v>
      </c>
      <c r="AB82" s="348">
        <f t="shared" si="11"/>
        <v>15070.81</v>
      </c>
      <c r="AC82" s="356">
        <f t="shared" si="7"/>
        <v>1.5070809999999999</v>
      </c>
    </row>
    <row r="83" spans="1:29" ht="24" hidden="1" x14ac:dyDescent="0.25">
      <c r="A83" s="138"/>
      <c r="B83" s="161" t="s">
        <v>2781</v>
      </c>
      <c r="C83" s="134" t="s">
        <v>3724</v>
      </c>
      <c r="D83" s="335"/>
      <c r="E83" s="707"/>
      <c r="F83" s="708" t="e">
        <f t="shared" si="1"/>
        <v>#DIV/0!</v>
      </c>
      <c r="G83" s="335"/>
      <c r="H83" s="335"/>
      <c r="I83" s="342"/>
      <c r="J83" s="335"/>
      <c r="K83" s="335"/>
      <c r="L83" s="335"/>
      <c r="M83" s="368"/>
      <c r="N83" s="368"/>
      <c r="O83" s="368"/>
      <c r="P83" s="368"/>
      <c r="Q83" s="335"/>
      <c r="R83" s="335"/>
      <c r="S83" s="335"/>
      <c r="T83" s="368"/>
      <c r="U83" s="368"/>
      <c r="V83" s="368"/>
      <c r="W83" s="368"/>
      <c r="X83" s="368"/>
      <c r="Y83" s="368"/>
      <c r="Z83" s="368"/>
      <c r="AA83" s="368">
        <f>SUM(G83,D83)</f>
        <v>0</v>
      </c>
      <c r="AB83" s="348"/>
      <c r="AC83" s="356" t="e">
        <f t="shared" si="7"/>
        <v>#DIV/0!</v>
      </c>
    </row>
    <row r="84" spans="1:29" ht="24" hidden="1" x14ac:dyDescent="0.25">
      <c r="A84" s="138"/>
      <c r="B84" s="162" t="s">
        <v>2787</v>
      </c>
      <c r="C84" s="134" t="s">
        <v>44</v>
      </c>
      <c r="D84" s="335"/>
      <c r="E84" s="707"/>
      <c r="F84" s="708" t="e">
        <f t="shared" si="1"/>
        <v>#DIV/0!</v>
      </c>
      <c r="G84" s="335"/>
      <c r="H84" s="335"/>
      <c r="I84" s="342"/>
      <c r="J84" s="335"/>
      <c r="K84" s="335"/>
      <c r="L84" s="335"/>
      <c r="M84" s="368"/>
      <c r="N84" s="368"/>
      <c r="O84" s="368"/>
      <c r="P84" s="368"/>
      <c r="Q84" s="335"/>
      <c r="R84" s="335"/>
      <c r="S84" s="335"/>
      <c r="T84" s="368"/>
      <c r="U84" s="368"/>
      <c r="V84" s="368"/>
      <c r="W84" s="368"/>
      <c r="X84" s="368"/>
      <c r="Y84" s="368"/>
      <c r="Z84" s="368"/>
      <c r="AA84" s="368">
        <f>SUM(G84,D84)</f>
        <v>0</v>
      </c>
      <c r="AB84" s="348"/>
      <c r="AC84" s="356" t="e">
        <f t="shared" si="7"/>
        <v>#DIV/0!</v>
      </c>
    </row>
    <row r="85" spans="1:29" hidden="1" x14ac:dyDescent="0.25">
      <c r="A85" s="138"/>
      <c r="B85" s="162" t="s">
        <v>2791</v>
      </c>
      <c r="C85" s="134" t="s">
        <v>3725</v>
      </c>
      <c r="D85" s="335"/>
      <c r="E85" s="707"/>
      <c r="F85" s="708" t="e">
        <f t="shared" ref="F85:F134" si="12">E85/D85</f>
        <v>#DIV/0!</v>
      </c>
      <c r="G85" s="335"/>
      <c r="H85" s="335"/>
      <c r="I85" s="342"/>
      <c r="J85" s="335"/>
      <c r="K85" s="335"/>
      <c r="L85" s="335"/>
      <c r="M85" s="368"/>
      <c r="N85" s="368"/>
      <c r="O85" s="368"/>
      <c r="P85" s="368"/>
      <c r="Q85" s="335"/>
      <c r="R85" s="335"/>
      <c r="S85" s="335"/>
      <c r="T85" s="368"/>
      <c r="U85" s="368"/>
      <c r="V85" s="368"/>
      <c r="W85" s="368"/>
      <c r="X85" s="368"/>
      <c r="Y85" s="368"/>
      <c r="Z85" s="368"/>
      <c r="AA85" s="368">
        <f>SUM(G85,D85)</f>
        <v>0</v>
      </c>
      <c r="AB85" s="348"/>
      <c r="AC85" s="356" t="e">
        <f t="shared" si="7"/>
        <v>#DIV/0!</v>
      </c>
    </row>
    <row r="86" spans="1:29" ht="24" x14ac:dyDescent="0.25">
      <c r="A86" s="483" t="s">
        <v>2814</v>
      </c>
      <c r="B86" s="477"/>
      <c r="C86" s="478" t="s">
        <v>3726</v>
      </c>
      <c r="D86" s="479">
        <f>SUM(D87:D97)</f>
        <v>21252366</v>
      </c>
      <c r="E86" s="353">
        <f>SUM(E87:E97)</f>
        <v>8564002.1900000013</v>
      </c>
      <c r="F86" s="340">
        <f>E86/D86</f>
        <v>0.40296700094474192</v>
      </c>
      <c r="G86" s="479">
        <f>SUM(G87:G97)</f>
        <v>827000</v>
      </c>
      <c r="H86" s="479">
        <f>SUM(H87:H97)</f>
        <v>298438.32</v>
      </c>
      <c r="I86" s="480"/>
      <c r="J86" s="479">
        <f>SUM(J87:J96)</f>
        <v>0</v>
      </c>
      <c r="K86" s="479">
        <f>SUM(K87:K96)</f>
        <v>0</v>
      </c>
      <c r="L86" s="479"/>
      <c r="M86" s="482"/>
      <c r="N86" s="482"/>
      <c r="O86" s="482"/>
      <c r="P86" s="482"/>
      <c r="Q86" s="479">
        <f>SUM(Q87:Q96)</f>
        <v>0</v>
      </c>
      <c r="R86" s="479">
        <f>SUM(R87:R96)</f>
        <v>0</v>
      </c>
      <c r="S86" s="479"/>
      <c r="T86" s="482"/>
      <c r="U86" s="482"/>
      <c r="V86" s="482"/>
      <c r="W86" s="482"/>
      <c r="X86" s="482"/>
      <c r="Y86" s="482"/>
      <c r="Z86" s="482"/>
      <c r="AA86" s="482">
        <f>SUM(AA87:AA97)</f>
        <v>22079366</v>
      </c>
      <c r="AB86" s="526">
        <f>SUM(AB87:AB97)</f>
        <v>8862440.5100000016</v>
      </c>
      <c r="AC86" s="527">
        <f t="shared" si="7"/>
        <v>0.40139017171054647</v>
      </c>
    </row>
    <row r="87" spans="1:29" ht="24" x14ac:dyDescent="0.25">
      <c r="A87" s="451"/>
      <c r="B87" s="450" t="s">
        <v>4868</v>
      </c>
      <c r="C87" s="709" t="s">
        <v>4869</v>
      </c>
      <c r="D87" s="434">
        <v>9951</v>
      </c>
      <c r="E87" s="700">
        <v>5014.3999999999996</v>
      </c>
      <c r="F87" s="701">
        <f t="shared" si="12"/>
        <v>0.50390915485880816</v>
      </c>
      <c r="G87" s="434"/>
      <c r="H87" s="434"/>
      <c r="I87" s="448"/>
      <c r="J87" s="434"/>
      <c r="K87" s="434"/>
      <c r="L87" s="434"/>
      <c r="M87" s="435"/>
      <c r="N87" s="435"/>
      <c r="O87" s="435"/>
      <c r="P87" s="435"/>
      <c r="Q87" s="434"/>
      <c r="R87" s="434"/>
      <c r="S87" s="434"/>
      <c r="T87" s="435"/>
      <c r="U87" s="435"/>
      <c r="V87" s="435"/>
      <c r="W87" s="435"/>
      <c r="X87" s="435"/>
      <c r="Y87" s="435"/>
      <c r="Z87" s="435"/>
      <c r="AA87" s="435">
        <f t="shared" ref="AA87:AA97" si="13">SUM(G87,D87,J87,M87,W87)</f>
        <v>9951</v>
      </c>
      <c r="AB87" s="348">
        <f t="shared" ref="AB87:AB97" si="14">SUM(H87,E87,K87,R87)</f>
        <v>5014.3999999999996</v>
      </c>
      <c r="AC87" s="356">
        <f t="shared" si="7"/>
        <v>0.50390915485880816</v>
      </c>
    </row>
    <row r="88" spans="1:29" ht="24" hidden="1" x14ac:dyDescent="0.25">
      <c r="A88" s="451"/>
      <c r="B88" s="450" t="s">
        <v>2836</v>
      </c>
      <c r="C88" s="447" t="s">
        <v>3727</v>
      </c>
      <c r="D88" s="434">
        <v>0</v>
      </c>
      <c r="E88" s="700"/>
      <c r="F88" s="701" t="e">
        <f t="shared" si="12"/>
        <v>#DIV/0!</v>
      </c>
      <c r="G88" s="434"/>
      <c r="H88" s="434"/>
      <c r="I88" s="448"/>
      <c r="J88" s="434"/>
      <c r="K88" s="434"/>
      <c r="L88" s="434"/>
      <c r="M88" s="435"/>
      <c r="N88" s="435"/>
      <c r="O88" s="435"/>
      <c r="P88" s="435"/>
      <c r="Q88" s="434"/>
      <c r="R88" s="434"/>
      <c r="S88" s="434"/>
      <c r="T88" s="435"/>
      <c r="U88" s="435"/>
      <c r="V88" s="435"/>
      <c r="W88" s="435"/>
      <c r="X88" s="435"/>
      <c r="Y88" s="435"/>
      <c r="Z88" s="435"/>
      <c r="AA88" s="435">
        <f t="shared" si="13"/>
        <v>0</v>
      </c>
      <c r="AB88" s="348">
        <f t="shared" si="14"/>
        <v>0</v>
      </c>
      <c r="AC88" s="356" t="e">
        <f t="shared" si="7"/>
        <v>#DIV/0!</v>
      </c>
    </row>
    <row r="89" spans="1:29" ht="60" x14ac:dyDescent="0.25">
      <c r="A89" s="451"/>
      <c r="B89" s="450" t="s">
        <v>4848</v>
      </c>
      <c r="C89" s="447" t="s">
        <v>4849</v>
      </c>
      <c r="D89" s="434">
        <f>886981+550000+547800-1100000-111283</f>
        <v>773498</v>
      </c>
      <c r="E89" s="700">
        <v>668718.59</v>
      </c>
      <c r="F89" s="701">
        <f t="shared" si="12"/>
        <v>0.86453822763601196</v>
      </c>
      <c r="G89" s="434"/>
      <c r="H89" s="434">
        <v>0</v>
      </c>
      <c r="I89" s="448"/>
      <c r="J89" s="434"/>
      <c r="K89" s="434"/>
      <c r="L89" s="434"/>
      <c r="M89" s="435"/>
      <c r="N89" s="435"/>
      <c r="O89" s="435"/>
      <c r="P89" s="435"/>
      <c r="Q89" s="434"/>
      <c r="R89" s="434"/>
      <c r="S89" s="434"/>
      <c r="T89" s="435"/>
      <c r="U89" s="435"/>
      <c r="V89" s="435"/>
      <c r="W89" s="435"/>
      <c r="X89" s="435"/>
      <c r="Y89" s="435"/>
      <c r="Z89" s="435"/>
      <c r="AA89" s="435">
        <f t="shared" si="13"/>
        <v>773498</v>
      </c>
      <c r="AB89" s="348">
        <f t="shared" si="14"/>
        <v>668718.59</v>
      </c>
      <c r="AC89" s="356">
        <f t="shared" si="7"/>
        <v>0.86453822763601196</v>
      </c>
    </row>
    <row r="90" spans="1:29" ht="36" x14ac:dyDescent="0.25">
      <c r="A90" s="453"/>
      <c r="B90" s="454" t="s">
        <v>5012</v>
      </c>
      <c r="C90" s="710" t="s">
        <v>5013</v>
      </c>
      <c r="D90" s="435">
        <f>4877*12*158</f>
        <v>9246792</v>
      </c>
      <c r="E90" s="711">
        <v>2369191</v>
      </c>
      <c r="F90" s="712">
        <f t="shared" si="12"/>
        <v>0.25621761579583491</v>
      </c>
      <c r="G90" s="435"/>
      <c r="H90" s="435">
        <v>0</v>
      </c>
      <c r="I90" s="455"/>
      <c r="J90" s="435"/>
      <c r="K90" s="435"/>
      <c r="L90" s="435"/>
      <c r="M90" s="435"/>
      <c r="N90" s="435"/>
      <c r="O90" s="435"/>
      <c r="P90" s="435"/>
      <c r="Q90" s="435"/>
      <c r="R90" s="435"/>
      <c r="S90" s="435"/>
      <c r="T90" s="435"/>
      <c r="U90" s="435"/>
      <c r="V90" s="435"/>
      <c r="W90" s="435"/>
      <c r="X90" s="435"/>
      <c r="Y90" s="435"/>
      <c r="Z90" s="435"/>
      <c r="AA90" s="435">
        <f t="shared" si="13"/>
        <v>9246792</v>
      </c>
      <c r="AB90" s="348">
        <f t="shared" si="14"/>
        <v>2369191</v>
      </c>
      <c r="AC90" s="356">
        <f>AB90/AA90</f>
        <v>0.25621761579583491</v>
      </c>
    </row>
    <row r="91" spans="1:29" hidden="1" x14ac:dyDescent="0.25">
      <c r="A91" s="451"/>
      <c r="B91" s="446">
        <v>742251</v>
      </c>
      <c r="C91" s="452" t="s">
        <v>4863</v>
      </c>
      <c r="D91" s="434"/>
      <c r="E91" s="700">
        <v>150</v>
      </c>
      <c r="F91" s="701"/>
      <c r="G91" s="434"/>
      <c r="H91" s="434"/>
      <c r="I91" s="448"/>
      <c r="J91" s="434"/>
      <c r="K91" s="434"/>
      <c r="L91" s="434"/>
      <c r="M91" s="435"/>
      <c r="N91" s="435"/>
      <c r="O91" s="435"/>
      <c r="P91" s="435"/>
      <c r="Q91" s="434"/>
      <c r="R91" s="434"/>
      <c r="S91" s="434"/>
      <c r="T91" s="435"/>
      <c r="U91" s="435"/>
      <c r="V91" s="435"/>
      <c r="W91" s="435"/>
      <c r="X91" s="435"/>
      <c r="Y91" s="435"/>
      <c r="Z91" s="435"/>
      <c r="AA91" s="435">
        <f t="shared" si="13"/>
        <v>0</v>
      </c>
      <c r="AB91" s="348">
        <f t="shared" si="14"/>
        <v>150</v>
      </c>
      <c r="AC91" s="356"/>
    </row>
    <row r="92" spans="1:29" ht="24" hidden="1" x14ac:dyDescent="0.25">
      <c r="A92" s="451"/>
      <c r="B92" s="446">
        <v>742252</v>
      </c>
      <c r="C92" s="447" t="s">
        <v>48</v>
      </c>
      <c r="D92" s="434">
        <v>0</v>
      </c>
      <c r="E92" s="700"/>
      <c r="F92" s="701" t="e">
        <f t="shared" si="12"/>
        <v>#DIV/0!</v>
      </c>
      <c r="G92" s="434"/>
      <c r="H92" s="434"/>
      <c r="I92" s="448"/>
      <c r="J92" s="434"/>
      <c r="K92" s="434"/>
      <c r="L92" s="434"/>
      <c r="M92" s="435"/>
      <c r="N92" s="435"/>
      <c r="O92" s="435"/>
      <c r="P92" s="435"/>
      <c r="Q92" s="434"/>
      <c r="R92" s="434"/>
      <c r="S92" s="434"/>
      <c r="T92" s="435"/>
      <c r="U92" s="435"/>
      <c r="V92" s="435"/>
      <c r="W92" s="435"/>
      <c r="X92" s="435"/>
      <c r="Y92" s="435"/>
      <c r="Z92" s="435"/>
      <c r="AA92" s="435">
        <f t="shared" si="13"/>
        <v>0</v>
      </c>
      <c r="AB92" s="348">
        <f t="shared" si="14"/>
        <v>0</v>
      </c>
      <c r="AC92" s="356" t="e">
        <f t="shared" si="7"/>
        <v>#DIV/0!</v>
      </c>
    </row>
    <row r="93" spans="1:29" ht="24" x14ac:dyDescent="0.25">
      <c r="A93" s="451"/>
      <c r="B93" s="446">
        <v>742253</v>
      </c>
      <c r="C93" s="452" t="s">
        <v>50</v>
      </c>
      <c r="D93" s="434">
        <v>49962</v>
      </c>
      <c r="E93" s="700">
        <v>49996.7</v>
      </c>
      <c r="F93" s="701">
        <f t="shared" si="12"/>
        <v>1.0006945278411592</v>
      </c>
      <c r="G93" s="434"/>
      <c r="H93" s="434"/>
      <c r="I93" s="448"/>
      <c r="J93" s="434"/>
      <c r="K93" s="434"/>
      <c r="L93" s="434"/>
      <c r="M93" s="435"/>
      <c r="N93" s="435"/>
      <c r="O93" s="435"/>
      <c r="P93" s="435"/>
      <c r="Q93" s="434"/>
      <c r="R93" s="434"/>
      <c r="S93" s="434"/>
      <c r="T93" s="435"/>
      <c r="U93" s="435"/>
      <c r="V93" s="435"/>
      <c r="W93" s="435"/>
      <c r="X93" s="435"/>
      <c r="Y93" s="435"/>
      <c r="Z93" s="435"/>
      <c r="AA93" s="435">
        <f t="shared" si="13"/>
        <v>49962</v>
      </c>
      <c r="AB93" s="348">
        <f t="shared" si="14"/>
        <v>49996.7</v>
      </c>
      <c r="AC93" s="356">
        <f t="shared" si="7"/>
        <v>1.0006945278411592</v>
      </c>
    </row>
    <row r="94" spans="1:29" ht="24" x14ac:dyDescent="0.25">
      <c r="A94" s="451"/>
      <c r="B94" s="446">
        <v>742255</v>
      </c>
      <c r="C94" s="452" t="s">
        <v>4864</v>
      </c>
      <c r="D94" s="434">
        <f>1288841+650000</f>
        <v>1938841</v>
      </c>
      <c r="E94" s="700">
        <v>1825200</v>
      </c>
      <c r="F94" s="701">
        <f t="shared" si="12"/>
        <v>0.94138714830148529</v>
      </c>
      <c r="G94" s="434"/>
      <c r="H94" s="434"/>
      <c r="I94" s="448"/>
      <c r="J94" s="434"/>
      <c r="K94" s="434"/>
      <c r="L94" s="434"/>
      <c r="M94" s="435"/>
      <c r="N94" s="435"/>
      <c r="O94" s="435"/>
      <c r="P94" s="435"/>
      <c r="Q94" s="434"/>
      <c r="R94" s="434"/>
      <c r="S94" s="434"/>
      <c r="T94" s="435"/>
      <c r="U94" s="435"/>
      <c r="V94" s="435"/>
      <c r="W94" s="435"/>
      <c r="X94" s="435"/>
      <c r="Y94" s="435"/>
      <c r="Z94" s="435"/>
      <c r="AA94" s="435">
        <f t="shared" si="13"/>
        <v>1938841</v>
      </c>
      <c r="AB94" s="348">
        <f t="shared" si="14"/>
        <v>1825200</v>
      </c>
      <c r="AC94" s="356">
        <f t="shared" si="7"/>
        <v>0.94138714830148529</v>
      </c>
    </row>
    <row r="95" spans="1:29" ht="60" hidden="1" x14ac:dyDescent="0.25">
      <c r="A95" s="451"/>
      <c r="B95" s="446">
        <v>742341</v>
      </c>
      <c r="C95" s="452" t="s">
        <v>52</v>
      </c>
      <c r="D95" s="434">
        <v>0</v>
      </c>
      <c r="E95" s="700"/>
      <c r="F95" s="701" t="e">
        <f t="shared" si="12"/>
        <v>#DIV/0!</v>
      </c>
      <c r="G95" s="434"/>
      <c r="H95" s="434"/>
      <c r="I95" s="448"/>
      <c r="J95" s="434"/>
      <c r="K95" s="434"/>
      <c r="L95" s="434"/>
      <c r="M95" s="435"/>
      <c r="N95" s="435"/>
      <c r="O95" s="435"/>
      <c r="P95" s="435"/>
      <c r="Q95" s="434"/>
      <c r="R95" s="434"/>
      <c r="S95" s="434"/>
      <c r="T95" s="435"/>
      <c r="U95" s="435"/>
      <c r="V95" s="435"/>
      <c r="W95" s="435"/>
      <c r="X95" s="435"/>
      <c r="Y95" s="435"/>
      <c r="Z95" s="435"/>
      <c r="AA95" s="435">
        <f t="shared" si="13"/>
        <v>0</v>
      </c>
      <c r="AB95" s="348">
        <f t="shared" si="14"/>
        <v>0</v>
      </c>
      <c r="AC95" s="356" t="e">
        <f t="shared" si="7"/>
        <v>#DIV/0!</v>
      </c>
    </row>
    <row r="96" spans="1:29" ht="24" x14ac:dyDescent="0.25">
      <c r="A96" s="451"/>
      <c r="B96" s="446">
        <v>742351</v>
      </c>
      <c r="C96" s="452" t="s">
        <v>4850</v>
      </c>
      <c r="D96" s="434">
        <f>3500092+470000+5263230</f>
        <v>9233322</v>
      </c>
      <c r="E96" s="700">
        <v>3645731.5</v>
      </c>
      <c r="F96" s="701">
        <f t="shared" si="12"/>
        <v>0.39484505143435916</v>
      </c>
      <c r="G96" s="434"/>
      <c r="H96" s="434"/>
      <c r="I96" s="448"/>
      <c r="J96" s="434"/>
      <c r="K96" s="434"/>
      <c r="L96" s="434"/>
      <c r="M96" s="435"/>
      <c r="N96" s="435"/>
      <c r="O96" s="435"/>
      <c r="P96" s="435"/>
      <c r="Q96" s="434"/>
      <c r="R96" s="434"/>
      <c r="S96" s="434"/>
      <c r="T96" s="435"/>
      <c r="U96" s="435"/>
      <c r="V96" s="435"/>
      <c r="W96" s="435"/>
      <c r="X96" s="435"/>
      <c r="Y96" s="435"/>
      <c r="Z96" s="435"/>
      <c r="AA96" s="435">
        <f t="shared" si="13"/>
        <v>9233322</v>
      </c>
      <c r="AB96" s="348">
        <f t="shared" si="14"/>
        <v>3645731.5</v>
      </c>
      <c r="AC96" s="356">
        <f t="shared" si="7"/>
        <v>0.39484505143435916</v>
      </c>
    </row>
    <row r="97" spans="1:29" ht="36" x14ac:dyDescent="0.25">
      <c r="A97" s="453"/>
      <c r="B97" s="546">
        <v>742372</v>
      </c>
      <c r="C97" s="547" t="s">
        <v>5049</v>
      </c>
      <c r="D97" s="435"/>
      <c r="E97" s="711">
        <v>0</v>
      </c>
      <c r="F97" s="712" t="e">
        <f t="shared" si="12"/>
        <v>#DIV/0!</v>
      </c>
      <c r="G97" s="435">
        <v>827000</v>
      </c>
      <c r="H97" s="435">
        <v>298438.32</v>
      </c>
      <c r="I97" s="455"/>
      <c r="J97" s="435"/>
      <c r="K97" s="435"/>
      <c r="L97" s="435"/>
      <c r="M97" s="435"/>
      <c r="N97" s="435"/>
      <c r="O97" s="435"/>
      <c r="P97" s="435"/>
      <c r="Q97" s="435"/>
      <c r="R97" s="435"/>
      <c r="S97" s="435"/>
      <c r="T97" s="435"/>
      <c r="U97" s="435"/>
      <c r="V97" s="435"/>
      <c r="W97" s="435"/>
      <c r="X97" s="435"/>
      <c r="Y97" s="435"/>
      <c r="Z97" s="435"/>
      <c r="AA97" s="435">
        <f t="shared" si="13"/>
        <v>827000</v>
      </c>
      <c r="AB97" s="348">
        <f t="shared" si="14"/>
        <v>298438.32</v>
      </c>
      <c r="AC97" s="356"/>
    </row>
    <row r="98" spans="1:29" ht="24" x14ac:dyDescent="0.25">
      <c r="A98" s="483" t="s">
        <v>2919</v>
      </c>
      <c r="B98" s="477"/>
      <c r="C98" s="478" t="s">
        <v>3728</v>
      </c>
      <c r="D98" s="479">
        <f>SUM(D99:D105)</f>
        <v>2585500</v>
      </c>
      <c r="E98" s="353">
        <f>SUM(E99:E105)</f>
        <v>2382053.85</v>
      </c>
      <c r="F98" s="340">
        <f t="shared" si="12"/>
        <v>0.92131264745697161</v>
      </c>
      <c r="G98" s="479">
        <f>SUM(G99:G101)</f>
        <v>0</v>
      </c>
      <c r="H98" s="479">
        <f>SUM(H99:H101)</f>
        <v>0</v>
      </c>
      <c r="I98" s="480"/>
      <c r="J98" s="479">
        <f>SUM(J99:J101)</f>
        <v>0</v>
      </c>
      <c r="K98" s="479">
        <f>SUM(K99:K101)</f>
        <v>0</v>
      </c>
      <c r="L98" s="479"/>
      <c r="M98" s="482"/>
      <c r="N98" s="482"/>
      <c r="O98" s="482"/>
      <c r="P98" s="482"/>
      <c r="Q98" s="479">
        <f>SUM(Q99:Q101)</f>
        <v>0</v>
      </c>
      <c r="R98" s="479">
        <f>SUM(R99:R101)</f>
        <v>0</v>
      </c>
      <c r="S98" s="479"/>
      <c r="T98" s="482"/>
      <c r="U98" s="482"/>
      <c r="V98" s="482"/>
      <c r="W98" s="482"/>
      <c r="X98" s="482"/>
      <c r="Y98" s="482"/>
      <c r="Z98" s="482"/>
      <c r="AA98" s="482">
        <f>SUM(AA99:AA105)</f>
        <v>2585500</v>
      </c>
      <c r="AB98" s="526">
        <f>SUM(AB99:AB105)</f>
        <v>2382053.85</v>
      </c>
      <c r="AC98" s="527">
        <f t="shared" si="7"/>
        <v>0.92131264745697161</v>
      </c>
    </row>
    <row r="99" spans="1:29" ht="36" x14ac:dyDescent="0.25">
      <c r="A99" s="451"/>
      <c r="B99" s="450" t="s">
        <v>2943</v>
      </c>
      <c r="C99" s="447" t="s">
        <v>3729</v>
      </c>
      <c r="D99" s="434">
        <f>2560000</f>
        <v>2560000</v>
      </c>
      <c r="E99" s="700">
        <v>2354527.16</v>
      </c>
      <c r="F99" s="701">
        <f t="shared" si="12"/>
        <v>0.91973717187500004</v>
      </c>
      <c r="G99" s="434"/>
      <c r="H99" s="434"/>
      <c r="I99" s="448"/>
      <c r="J99" s="434"/>
      <c r="K99" s="434"/>
      <c r="L99" s="434"/>
      <c r="M99" s="435"/>
      <c r="N99" s="435"/>
      <c r="O99" s="435"/>
      <c r="P99" s="435"/>
      <c r="Q99" s="434"/>
      <c r="R99" s="434"/>
      <c r="S99" s="434"/>
      <c r="T99" s="435"/>
      <c r="U99" s="435"/>
      <c r="V99" s="435"/>
      <c r="W99" s="435"/>
      <c r="X99" s="435"/>
      <c r="Y99" s="435"/>
      <c r="Z99" s="435"/>
      <c r="AA99" s="435">
        <f t="shared" ref="AA99:AA105" si="15">SUM(G99,D99,J99,M99,W99)</f>
        <v>2560000</v>
      </c>
      <c r="AB99" s="348">
        <f t="shared" ref="AB99:AB105" si="16">SUM(H99,E99,K99,R99)</f>
        <v>2354527.16</v>
      </c>
      <c r="AC99" s="356">
        <f t="shared" si="7"/>
        <v>0.91973717187500004</v>
      </c>
    </row>
    <row r="100" spans="1:29" ht="48" hidden="1" x14ac:dyDescent="0.25">
      <c r="A100" s="451"/>
      <c r="B100" s="450" t="s">
        <v>4851</v>
      </c>
      <c r="C100" s="447" t="s">
        <v>4852</v>
      </c>
      <c r="D100" s="434"/>
      <c r="E100" s="700">
        <v>0</v>
      </c>
      <c r="F100" s="701"/>
      <c r="G100" s="434"/>
      <c r="H100" s="434"/>
      <c r="I100" s="448"/>
      <c r="J100" s="434"/>
      <c r="K100" s="434"/>
      <c r="L100" s="434"/>
      <c r="M100" s="435"/>
      <c r="N100" s="435"/>
      <c r="O100" s="435"/>
      <c r="P100" s="435"/>
      <c r="Q100" s="434"/>
      <c r="R100" s="434"/>
      <c r="S100" s="434"/>
      <c r="T100" s="435"/>
      <c r="U100" s="435"/>
      <c r="V100" s="435"/>
      <c r="W100" s="435"/>
      <c r="X100" s="435"/>
      <c r="Y100" s="435"/>
      <c r="Z100" s="435"/>
      <c r="AA100" s="435">
        <f t="shared" si="15"/>
        <v>0</v>
      </c>
      <c r="AB100" s="348">
        <f t="shared" si="16"/>
        <v>0</v>
      </c>
      <c r="AC100" s="356"/>
    </row>
    <row r="101" spans="1:29" ht="24" hidden="1" x14ac:dyDescent="0.25">
      <c r="A101" s="451"/>
      <c r="B101" s="450" t="s">
        <v>2953</v>
      </c>
      <c r="C101" s="447" t="s">
        <v>3730</v>
      </c>
      <c r="D101" s="434">
        <v>0</v>
      </c>
      <c r="E101" s="700"/>
      <c r="F101" s="701" t="e">
        <f t="shared" si="12"/>
        <v>#DIV/0!</v>
      </c>
      <c r="G101" s="434"/>
      <c r="H101" s="434"/>
      <c r="I101" s="448"/>
      <c r="J101" s="434"/>
      <c r="K101" s="434"/>
      <c r="L101" s="434"/>
      <c r="M101" s="435"/>
      <c r="N101" s="435"/>
      <c r="O101" s="435"/>
      <c r="P101" s="435"/>
      <c r="Q101" s="434"/>
      <c r="R101" s="434"/>
      <c r="S101" s="434"/>
      <c r="T101" s="435"/>
      <c r="U101" s="435"/>
      <c r="V101" s="435"/>
      <c r="W101" s="435"/>
      <c r="X101" s="435"/>
      <c r="Y101" s="435"/>
      <c r="Z101" s="435"/>
      <c r="AA101" s="435">
        <f t="shared" si="15"/>
        <v>0</v>
      </c>
      <c r="AB101" s="348">
        <f t="shared" si="16"/>
        <v>0</v>
      </c>
      <c r="AC101" s="356" t="e">
        <f t="shared" si="7"/>
        <v>#DIV/0!</v>
      </c>
    </row>
    <row r="102" spans="1:29" ht="24" hidden="1" x14ac:dyDescent="0.25">
      <c r="A102" s="456" t="s">
        <v>2993</v>
      </c>
      <c r="B102" s="457"/>
      <c r="C102" s="458" t="s">
        <v>3731</v>
      </c>
      <c r="D102" s="459"/>
      <c r="E102" s="713"/>
      <c r="F102" s="714" t="e">
        <f t="shared" si="12"/>
        <v>#DIV/0!</v>
      </c>
      <c r="G102" s="459">
        <f>SUM(G103:G104)</f>
        <v>0</v>
      </c>
      <c r="H102" s="459"/>
      <c r="I102" s="460"/>
      <c r="J102" s="459"/>
      <c r="K102" s="459"/>
      <c r="L102" s="459"/>
      <c r="M102" s="461"/>
      <c r="N102" s="461"/>
      <c r="O102" s="461"/>
      <c r="P102" s="461"/>
      <c r="Q102" s="459"/>
      <c r="R102" s="459"/>
      <c r="S102" s="459"/>
      <c r="T102" s="461"/>
      <c r="U102" s="461"/>
      <c r="V102" s="461"/>
      <c r="W102" s="461"/>
      <c r="X102" s="461"/>
      <c r="Y102" s="461"/>
      <c r="Z102" s="461"/>
      <c r="AA102" s="461">
        <f t="shared" si="15"/>
        <v>0</v>
      </c>
      <c r="AB102" s="347">
        <f t="shared" si="16"/>
        <v>0</v>
      </c>
      <c r="AC102" s="355" t="e">
        <f t="shared" ref="AC102:AC133" si="17">AB102/AA102</f>
        <v>#DIV/0!</v>
      </c>
    </row>
    <row r="103" spans="1:29" ht="36" hidden="1" x14ac:dyDescent="0.25">
      <c r="A103" s="451"/>
      <c r="B103" s="450" t="s">
        <v>3002</v>
      </c>
      <c r="C103" s="447" t="s">
        <v>3732</v>
      </c>
      <c r="D103" s="434"/>
      <c r="E103" s="700"/>
      <c r="F103" s="701" t="e">
        <f t="shared" si="12"/>
        <v>#DIV/0!</v>
      </c>
      <c r="G103" s="434"/>
      <c r="H103" s="434"/>
      <c r="I103" s="448"/>
      <c r="J103" s="434"/>
      <c r="K103" s="434"/>
      <c r="L103" s="434"/>
      <c r="M103" s="435"/>
      <c r="N103" s="435"/>
      <c r="O103" s="435"/>
      <c r="P103" s="435"/>
      <c r="Q103" s="434"/>
      <c r="R103" s="434"/>
      <c r="S103" s="434"/>
      <c r="T103" s="435"/>
      <c r="U103" s="435"/>
      <c r="V103" s="435"/>
      <c r="W103" s="435"/>
      <c r="X103" s="435"/>
      <c r="Y103" s="435"/>
      <c r="Z103" s="435"/>
      <c r="AA103" s="435">
        <f t="shared" si="15"/>
        <v>0</v>
      </c>
      <c r="AB103" s="348">
        <f t="shared" si="16"/>
        <v>0</v>
      </c>
      <c r="AC103" s="356" t="e">
        <f t="shared" si="17"/>
        <v>#DIV/0!</v>
      </c>
    </row>
    <row r="104" spans="1:29" ht="36" hidden="1" x14ac:dyDescent="0.25">
      <c r="A104" s="451"/>
      <c r="B104" s="450" t="s">
        <v>3015</v>
      </c>
      <c r="C104" s="447" t="s">
        <v>3733</v>
      </c>
      <c r="D104" s="434"/>
      <c r="E104" s="700"/>
      <c r="F104" s="701" t="e">
        <f t="shared" si="12"/>
        <v>#DIV/0!</v>
      </c>
      <c r="G104" s="434"/>
      <c r="H104" s="434"/>
      <c r="I104" s="448"/>
      <c r="J104" s="434"/>
      <c r="K104" s="434"/>
      <c r="L104" s="434"/>
      <c r="M104" s="435"/>
      <c r="N104" s="435"/>
      <c r="O104" s="435"/>
      <c r="P104" s="435"/>
      <c r="Q104" s="434"/>
      <c r="R104" s="434"/>
      <c r="S104" s="434"/>
      <c r="T104" s="435"/>
      <c r="U104" s="435"/>
      <c r="V104" s="435"/>
      <c r="W104" s="435"/>
      <c r="X104" s="435"/>
      <c r="Y104" s="435"/>
      <c r="Z104" s="435"/>
      <c r="AA104" s="435">
        <f t="shared" si="15"/>
        <v>0</v>
      </c>
      <c r="AB104" s="348">
        <f t="shared" si="16"/>
        <v>0</v>
      </c>
      <c r="AC104" s="356" t="e">
        <f t="shared" si="17"/>
        <v>#DIV/0!</v>
      </c>
    </row>
    <row r="105" spans="1:29" ht="36" x14ac:dyDescent="0.25">
      <c r="A105" s="451"/>
      <c r="B105" s="450" t="s">
        <v>4865</v>
      </c>
      <c r="C105" s="447" t="s">
        <v>4866</v>
      </c>
      <c r="D105" s="434">
        <v>25500</v>
      </c>
      <c r="E105" s="700">
        <v>27526.69</v>
      </c>
      <c r="F105" s="701">
        <f t="shared" si="12"/>
        <v>1.0794780392156862</v>
      </c>
      <c r="G105" s="434"/>
      <c r="H105" s="434"/>
      <c r="I105" s="448"/>
      <c r="J105" s="434"/>
      <c r="K105" s="434"/>
      <c r="L105" s="434"/>
      <c r="M105" s="435"/>
      <c r="N105" s="435"/>
      <c r="O105" s="435"/>
      <c r="P105" s="435"/>
      <c r="Q105" s="434"/>
      <c r="R105" s="434"/>
      <c r="S105" s="434"/>
      <c r="T105" s="435"/>
      <c r="U105" s="435"/>
      <c r="V105" s="435"/>
      <c r="W105" s="435"/>
      <c r="X105" s="435"/>
      <c r="Y105" s="435"/>
      <c r="Z105" s="435"/>
      <c r="AA105" s="435">
        <f t="shared" si="15"/>
        <v>25500</v>
      </c>
      <c r="AB105" s="348">
        <f t="shared" si="16"/>
        <v>27526.69</v>
      </c>
      <c r="AC105" s="356"/>
    </row>
    <row r="106" spans="1:29" ht="24" x14ac:dyDescent="0.25">
      <c r="A106" s="483" t="s">
        <v>3021</v>
      </c>
      <c r="B106" s="477"/>
      <c r="C106" s="478" t="s">
        <v>3734</v>
      </c>
      <c r="D106" s="479">
        <f>SUM(D107:D111)</f>
        <v>559422</v>
      </c>
      <c r="E106" s="353">
        <f>SUM(E107:E111)</f>
        <v>426970.83</v>
      </c>
      <c r="F106" s="340">
        <f t="shared" si="12"/>
        <v>0.76323567896864986</v>
      </c>
      <c r="G106" s="479">
        <f>SUM(G107:G111)</f>
        <v>0</v>
      </c>
      <c r="H106" s="479">
        <f>SUM(H107:H111)</f>
        <v>212083.35</v>
      </c>
      <c r="I106" s="480" t="e">
        <f t="shared" ref="I106:I111" si="18">H106/G106</f>
        <v>#DIV/0!</v>
      </c>
      <c r="J106" s="479">
        <f>SUM(J107:J111)</f>
        <v>0</v>
      </c>
      <c r="K106" s="479">
        <f>SUM(K107:K111)</f>
        <v>0</v>
      </c>
      <c r="L106" s="479"/>
      <c r="M106" s="482"/>
      <c r="N106" s="482"/>
      <c r="O106" s="482"/>
      <c r="P106" s="482"/>
      <c r="Q106" s="479">
        <f>SUM(Q107:Q111)</f>
        <v>0</v>
      </c>
      <c r="R106" s="479">
        <f>SUM(R107:R111)</f>
        <v>0</v>
      </c>
      <c r="S106" s="479"/>
      <c r="T106" s="482"/>
      <c r="U106" s="482"/>
      <c r="V106" s="482"/>
      <c r="W106" s="482">
        <f>SUM(W108)</f>
        <v>1327000</v>
      </c>
      <c r="X106" s="482">
        <f>SUM(X108:X111)</f>
        <v>865502.06</v>
      </c>
      <c r="Y106" s="481">
        <f>X106/W106</f>
        <v>0.65222461190655623</v>
      </c>
      <c r="Z106" s="481"/>
      <c r="AA106" s="482">
        <f>SUM(AA107:AA111)</f>
        <v>1886422</v>
      </c>
      <c r="AB106" s="526">
        <f>SUM(AB107:AB111)</f>
        <v>1504556.2400000002</v>
      </c>
      <c r="AC106" s="527">
        <f t="shared" si="17"/>
        <v>0.79757140236914126</v>
      </c>
    </row>
    <row r="107" spans="1:29" hidden="1" x14ac:dyDescent="0.25">
      <c r="A107" s="138"/>
      <c r="B107" s="161" t="s">
        <v>3043</v>
      </c>
      <c r="C107" s="137" t="s">
        <v>3756</v>
      </c>
      <c r="D107" s="335"/>
      <c r="E107" s="707"/>
      <c r="F107" s="708" t="e">
        <f t="shared" si="12"/>
        <v>#DIV/0!</v>
      </c>
      <c r="G107" s="335"/>
      <c r="H107" s="335"/>
      <c r="I107" s="342" t="e">
        <f t="shared" si="18"/>
        <v>#DIV/0!</v>
      </c>
      <c r="J107" s="335"/>
      <c r="K107" s="335"/>
      <c r="L107" s="335"/>
      <c r="M107" s="368"/>
      <c r="N107" s="368"/>
      <c r="O107" s="368"/>
      <c r="P107" s="368"/>
      <c r="Q107" s="335"/>
      <c r="R107" s="335"/>
      <c r="S107" s="335"/>
      <c r="T107" s="368"/>
      <c r="U107" s="368"/>
      <c r="V107" s="368"/>
      <c r="W107" s="368"/>
      <c r="X107" s="368"/>
      <c r="Y107" s="368"/>
      <c r="Z107" s="368"/>
      <c r="AA107" s="368">
        <f>SUM(G107,D107)</f>
        <v>0</v>
      </c>
      <c r="AB107" s="348"/>
      <c r="AC107" s="356" t="e">
        <f t="shared" si="17"/>
        <v>#DIV/0!</v>
      </c>
    </row>
    <row r="108" spans="1:29" ht="36" x14ac:dyDescent="0.25">
      <c r="A108" s="549"/>
      <c r="B108" s="454" t="s">
        <v>5057</v>
      </c>
      <c r="C108" s="550" t="s">
        <v>5058</v>
      </c>
      <c r="D108" s="368"/>
      <c r="E108" s="715">
        <v>0</v>
      </c>
      <c r="F108" s="716"/>
      <c r="G108" s="368"/>
      <c r="H108" s="368"/>
      <c r="I108" s="433"/>
      <c r="J108" s="368"/>
      <c r="K108" s="368"/>
      <c r="L108" s="368"/>
      <c r="M108" s="368"/>
      <c r="N108" s="368"/>
      <c r="O108" s="368"/>
      <c r="P108" s="368"/>
      <c r="Q108" s="368"/>
      <c r="R108" s="368"/>
      <c r="S108" s="368"/>
      <c r="T108" s="368"/>
      <c r="U108" s="368"/>
      <c r="V108" s="368"/>
      <c r="W108" s="717">
        <v>1327000</v>
      </c>
      <c r="X108" s="368">
        <v>865502.06</v>
      </c>
      <c r="Y108" s="433">
        <f>X108/W108</f>
        <v>0.65222461190655623</v>
      </c>
      <c r="Z108" s="433"/>
      <c r="AA108" s="368">
        <f>SUM(G108,D108,J108,M108,W108)</f>
        <v>1327000</v>
      </c>
      <c r="AB108" s="348">
        <f>X108</f>
        <v>865502.06</v>
      </c>
      <c r="AC108" s="356">
        <f t="shared" si="17"/>
        <v>0.65222461190655623</v>
      </c>
    </row>
    <row r="109" spans="1:29" ht="24" hidden="1" x14ac:dyDescent="0.25">
      <c r="A109" s="138"/>
      <c r="B109" s="161" t="s">
        <v>3045</v>
      </c>
      <c r="C109" s="137" t="s">
        <v>3757</v>
      </c>
      <c r="D109" s="335"/>
      <c r="E109" s="707"/>
      <c r="F109" s="708" t="e">
        <f t="shared" si="12"/>
        <v>#DIV/0!</v>
      </c>
      <c r="G109" s="335"/>
      <c r="H109" s="335"/>
      <c r="I109" s="342" t="e">
        <f t="shared" si="18"/>
        <v>#DIV/0!</v>
      </c>
      <c r="J109" s="335"/>
      <c r="K109" s="335"/>
      <c r="L109" s="335"/>
      <c r="M109" s="368"/>
      <c r="N109" s="368"/>
      <c r="O109" s="368"/>
      <c r="P109" s="368"/>
      <c r="Q109" s="335"/>
      <c r="R109" s="335"/>
      <c r="S109" s="335"/>
      <c r="T109" s="368"/>
      <c r="U109" s="368"/>
      <c r="V109" s="368"/>
      <c r="W109" s="368"/>
      <c r="X109" s="368"/>
      <c r="Y109" s="368"/>
      <c r="Z109" s="368"/>
      <c r="AA109" s="368">
        <f>SUM(G109,D109,J109,M109,W109)</f>
        <v>0</v>
      </c>
      <c r="AB109" s="348">
        <f>SUM(H109,E109,K109,R109)</f>
        <v>0</v>
      </c>
      <c r="AC109" s="356" t="e">
        <f t="shared" si="17"/>
        <v>#DIV/0!</v>
      </c>
    </row>
    <row r="110" spans="1:29" ht="36" hidden="1" x14ac:dyDescent="0.25">
      <c r="A110" s="138"/>
      <c r="B110" s="161" t="s">
        <v>3047</v>
      </c>
      <c r="C110" s="137" t="s">
        <v>3758</v>
      </c>
      <c r="D110" s="335"/>
      <c r="E110" s="707"/>
      <c r="F110" s="708" t="e">
        <f t="shared" si="12"/>
        <v>#DIV/0!</v>
      </c>
      <c r="G110" s="335"/>
      <c r="H110" s="335"/>
      <c r="I110" s="342" t="e">
        <f t="shared" si="18"/>
        <v>#DIV/0!</v>
      </c>
      <c r="J110" s="335"/>
      <c r="K110" s="335"/>
      <c r="L110" s="335"/>
      <c r="M110" s="368"/>
      <c r="N110" s="368"/>
      <c r="O110" s="368"/>
      <c r="P110" s="368"/>
      <c r="Q110" s="335"/>
      <c r="R110" s="335"/>
      <c r="S110" s="335"/>
      <c r="T110" s="368"/>
      <c r="U110" s="368"/>
      <c r="V110" s="368"/>
      <c r="W110" s="368"/>
      <c r="X110" s="368"/>
      <c r="Y110" s="368"/>
      <c r="Z110" s="368"/>
      <c r="AA110" s="368">
        <f>SUM(G110,D110,J110,M110,W110)</f>
        <v>0</v>
      </c>
      <c r="AB110" s="348">
        <f>SUM(H110,E110,K110,R110)</f>
        <v>0</v>
      </c>
      <c r="AC110" s="356" t="e">
        <f t="shared" si="17"/>
        <v>#DIV/0!</v>
      </c>
    </row>
    <row r="111" spans="1:29" ht="24" x14ac:dyDescent="0.25">
      <c r="A111" s="451"/>
      <c r="B111" s="450" t="s">
        <v>4853</v>
      </c>
      <c r="C111" s="452" t="s">
        <v>4854</v>
      </c>
      <c r="D111" s="434">
        <v>559422</v>
      </c>
      <c r="E111" s="700">
        <v>426970.83</v>
      </c>
      <c r="F111" s="701">
        <f t="shared" si="12"/>
        <v>0.76323567896864986</v>
      </c>
      <c r="G111" s="434">
        <v>0</v>
      </c>
      <c r="H111" s="434">
        <v>212083.35</v>
      </c>
      <c r="I111" s="448" t="e">
        <f t="shared" si="18"/>
        <v>#DIV/0!</v>
      </c>
      <c r="J111" s="434"/>
      <c r="K111" s="434"/>
      <c r="L111" s="434"/>
      <c r="M111" s="435"/>
      <c r="N111" s="435"/>
      <c r="O111" s="435"/>
      <c r="P111" s="435"/>
      <c r="Q111" s="434"/>
      <c r="R111" s="434"/>
      <c r="S111" s="434"/>
      <c r="T111" s="435"/>
      <c r="U111" s="435"/>
      <c r="V111" s="435"/>
      <c r="W111" s="435"/>
      <c r="X111" s="435"/>
      <c r="Y111" s="435"/>
      <c r="Z111" s="435"/>
      <c r="AA111" s="435">
        <f>SUM(G111,D111,J111,M111,W111)</f>
        <v>559422</v>
      </c>
      <c r="AB111" s="348">
        <f>SUM(H111,E111,K111,R111)</f>
        <v>639054.18000000005</v>
      </c>
      <c r="AC111" s="356">
        <f t="shared" si="17"/>
        <v>1.1423472441198237</v>
      </c>
    </row>
    <row r="112" spans="1:29" ht="24" x14ac:dyDescent="0.25">
      <c r="A112" s="476" t="s">
        <v>3061</v>
      </c>
      <c r="B112" s="477"/>
      <c r="C112" s="478" t="s">
        <v>3735</v>
      </c>
      <c r="D112" s="479">
        <f>SUM(D113)</f>
        <v>411215</v>
      </c>
      <c r="E112" s="353">
        <f>SUM(E113)</f>
        <v>300627.14</v>
      </c>
      <c r="F112" s="340"/>
      <c r="G112" s="479">
        <f>SUM(G114)</f>
        <v>0</v>
      </c>
      <c r="H112" s="479">
        <f>SUM(H113)</f>
        <v>64368.76</v>
      </c>
      <c r="I112" s="480"/>
      <c r="J112" s="479"/>
      <c r="K112" s="479"/>
      <c r="L112" s="479"/>
      <c r="M112" s="482"/>
      <c r="N112" s="482"/>
      <c r="O112" s="482"/>
      <c r="P112" s="482"/>
      <c r="Q112" s="479"/>
      <c r="R112" s="479"/>
      <c r="S112" s="479"/>
      <c r="T112" s="482"/>
      <c r="U112" s="482"/>
      <c r="V112" s="482"/>
      <c r="W112" s="482"/>
      <c r="X112" s="482"/>
      <c r="Y112" s="482"/>
      <c r="Z112" s="482"/>
      <c r="AA112" s="482">
        <f>AA113</f>
        <v>411215</v>
      </c>
      <c r="AB112" s="526">
        <f>SUM(AB113)</f>
        <v>364995.9</v>
      </c>
      <c r="AC112" s="527">
        <f t="shared" si="17"/>
        <v>0.88760356504504945</v>
      </c>
    </row>
    <row r="113" spans="1:32" ht="36" x14ac:dyDescent="0.25">
      <c r="A113" s="534" t="s">
        <v>5041</v>
      </c>
      <c r="B113" s="533"/>
      <c r="C113" s="718" t="s">
        <v>5044</v>
      </c>
      <c r="D113" s="482">
        <f>SUM(D114)</f>
        <v>411215</v>
      </c>
      <c r="E113" s="719">
        <f>SUM(E114)</f>
        <v>300627.14</v>
      </c>
      <c r="F113" s="720"/>
      <c r="G113" s="482"/>
      <c r="H113" s="482">
        <f>SUM(H114)</f>
        <v>64368.76</v>
      </c>
      <c r="I113" s="481"/>
      <c r="J113" s="482"/>
      <c r="K113" s="482"/>
      <c r="L113" s="482"/>
      <c r="M113" s="482"/>
      <c r="N113" s="482"/>
      <c r="O113" s="482"/>
      <c r="P113" s="482"/>
      <c r="Q113" s="482"/>
      <c r="R113" s="482"/>
      <c r="S113" s="482"/>
      <c r="T113" s="482"/>
      <c r="U113" s="482"/>
      <c r="V113" s="482"/>
      <c r="W113" s="482"/>
      <c r="X113" s="482"/>
      <c r="Y113" s="482"/>
      <c r="Z113" s="482"/>
      <c r="AA113" s="482">
        <f>AA114</f>
        <v>411215</v>
      </c>
      <c r="AB113" s="526">
        <f>SUM(AB114)</f>
        <v>364995.9</v>
      </c>
      <c r="AC113" s="527"/>
    </row>
    <row r="114" spans="1:32" ht="36" x14ac:dyDescent="0.25">
      <c r="A114" s="138"/>
      <c r="B114" s="450" t="s">
        <v>5042</v>
      </c>
      <c r="C114" s="137" t="s">
        <v>5043</v>
      </c>
      <c r="D114" s="335">
        <v>411215</v>
      </c>
      <c r="E114" s="707">
        <v>300627.14</v>
      </c>
      <c r="F114" s="708"/>
      <c r="G114" s="335"/>
      <c r="H114" s="335">
        <v>64368.76</v>
      </c>
      <c r="I114" s="342"/>
      <c r="J114" s="335"/>
      <c r="K114" s="335"/>
      <c r="L114" s="335"/>
      <c r="M114" s="368"/>
      <c r="N114" s="368"/>
      <c r="O114" s="368"/>
      <c r="P114" s="368"/>
      <c r="Q114" s="335"/>
      <c r="R114" s="335"/>
      <c r="S114" s="335"/>
      <c r="T114" s="368"/>
      <c r="U114" s="368"/>
      <c r="V114" s="368"/>
      <c r="W114" s="368"/>
      <c r="X114" s="368"/>
      <c r="Y114" s="368"/>
      <c r="Z114" s="368"/>
      <c r="AA114" s="368">
        <f>SUM(G114,D114,J114,M114,W114)</f>
        <v>411215</v>
      </c>
      <c r="AB114" s="348">
        <f>SUM(H114,E114,K114,R114)</f>
        <v>364995.9</v>
      </c>
      <c r="AC114" s="356"/>
      <c r="AF114" s="617"/>
    </row>
    <row r="115" spans="1:32" ht="36" hidden="1" x14ac:dyDescent="0.25">
      <c r="A115" s="476" t="s">
        <v>5050</v>
      </c>
      <c r="B115" s="477"/>
      <c r="C115" s="478" t="s">
        <v>5053</v>
      </c>
      <c r="D115" s="479">
        <f>SUM(D116)</f>
        <v>0</v>
      </c>
      <c r="E115" s="353">
        <f t="shared" ref="E115:AB116" si="19">SUM(E116)</f>
        <v>0</v>
      </c>
      <c r="F115" s="340"/>
      <c r="G115" s="479">
        <f t="shared" si="19"/>
        <v>0</v>
      </c>
      <c r="H115" s="479">
        <f t="shared" si="19"/>
        <v>0</v>
      </c>
      <c r="I115" s="480"/>
      <c r="J115" s="479">
        <f t="shared" si="19"/>
        <v>0</v>
      </c>
      <c r="K115" s="479">
        <f t="shared" si="19"/>
        <v>0</v>
      </c>
      <c r="L115" s="479"/>
      <c r="M115" s="482"/>
      <c r="N115" s="482"/>
      <c r="O115" s="482"/>
      <c r="P115" s="482"/>
      <c r="Q115" s="479">
        <f t="shared" si="19"/>
        <v>0</v>
      </c>
      <c r="R115" s="479">
        <f t="shared" si="19"/>
        <v>0</v>
      </c>
      <c r="S115" s="479">
        <f t="shared" si="19"/>
        <v>0</v>
      </c>
      <c r="T115" s="482"/>
      <c r="U115" s="482">
        <f t="shared" si="19"/>
        <v>0</v>
      </c>
      <c r="V115" s="482">
        <f t="shared" si="19"/>
        <v>0</v>
      </c>
      <c r="W115" s="482"/>
      <c r="X115" s="482"/>
      <c r="Y115" s="482"/>
      <c r="Z115" s="482"/>
      <c r="AA115" s="482">
        <f t="shared" si="19"/>
        <v>0</v>
      </c>
      <c r="AB115" s="526">
        <f t="shared" si="19"/>
        <v>0</v>
      </c>
      <c r="AC115" s="527"/>
    </row>
    <row r="116" spans="1:32" ht="36" hidden="1" x14ac:dyDescent="0.25">
      <c r="A116" s="534" t="s">
        <v>5052</v>
      </c>
      <c r="B116" s="533"/>
      <c r="C116" s="478" t="s">
        <v>5053</v>
      </c>
      <c r="D116" s="482">
        <f>SUM(D117)</f>
        <v>0</v>
      </c>
      <c r="E116" s="719">
        <f t="shared" si="19"/>
        <v>0</v>
      </c>
      <c r="F116" s="720"/>
      <c r="G116" s="482">
        <f t="shared" si="19"/>
        <v>0</v>
      </c>
      <c r="H116" s="482">
        <f t="shared" si="19"/>
        <v>0</v>
      </c>
      <c r="I116" s="481"/>
      <c r="J116" s="482">
        <f t="shared" si="19"/>
        <v>0</v>
      </c>
      <c r="K116" s="482">
        <f t="shared" si="19"/>
        <v>0</v>
      </c>
      <c r="L116" s="482"/>
      <c r="M116" s="482"/>
      <c r="N116" s="482"/>
      <c r="O116" s="482"/>
      <c r="P116" s="482"/>
      <c r="Q116" s="482">
        <f t="shared" si="19"/>
        <v>0</v>
      </c>
      <c r="R116" s="482">
        <f t="shared" si="19"/>
        <v>0</v>
      </c>
      <c r="S116" s="482">
        <f t="shared" si="19"/>
        <v>0</v>
      </c>
      <c r="T116" s="482"/>
      <c r="U116" s="482">
        <f t="shared" si="19"/>
        <v>0</v>
      </c>
      <c r="V116" s="482">
        <f t="shared" si="19"/>
        <v>0</v>
      </c>
      <c r="W116" s="482"/>
      <c r="X116" s="482"/>
      <c r="Y116" s="482"/>
      <c r="Z116" s="482"/>
      <c r="AA116" s="482">
        <f t="shared" si="19"/>
        <v>0</v>
      </c>
      <c r="AB116" s="526">
        <f>SUM(AB117)</f>
        <v>0</v>
      </c>
      <c r="AC116" s="527"/>
    </row>
    <row r="117" spans="1:32" ht="36" hidden="1" x14ac:dyDescent="0.25">
      <c r="A117" s="138"/>
      <c r="B117" s="136" t="s">
        <v>5051</v>
      </c>
      <c r="C117" s="137" t="s">
        <v>5054</v>
      </c>
      <c r="D117" s="335"/>
      <c r="E117" s="707">
        <v>0</v>
      </c>
      <c r="F117" s="708"/>
      <c r="G117" s="335"/>
      <c r="H117" s="335"/>
      <c r="I117" s="342"/>
      <c r="J117" s="335"/>
      <c r="K117" s="335"/>
      <c r="L117" s="335"/>
      <c r="M117" s="368"/>
      <c r="N117" s="368"/>
      <c r="O117" s="368"/>
      <c r="P117" s="368"/>
      <c r="Q117" s="335"/>
      <c r="R117" s="335"/>
      <c r="S117" s="335"/>
      <c r="T117" s="368"/>
      <c r="U117" s="368"/>
      <c r="V117" s="368"/>
      <c r="W117" s="368"/>
      <c r="X117" s="368"/>
      <c r="Y117" s="368"/>
      <c r="Z117" s="368"/>
      <c r="AA117" s="368">
        <f>SUM(G117,D117,J117,M117,W117)</f>
        <v>0</v>
      </c>
      <c r="AB117" s="348">
        <f>SUM(H117,E117,K117,R117)</f>
        <v>0</v>
      </c>
      <c r="AC117" s="356"/>
    </row>
    <row r="118" spans="1:32" ht="24" x14ac:dyDescent="0.25">
      <c r="A118" s="144" t="s">
        <v>3093</v>
      </c>
      <c r="B118" s="721"/>
      <c r="C118" s="722" t="s">
        <v>3736</v>
      </c>
      <c r="D118" s="337">
        <f>D119+D123</f>
        <v>0</v>
      </c>
      <c r="E118" s="723">
        <f>E119</f>
        <v>21867.32</v>
      </c>
      <c r="F118" s="724" t="e">
        <f t="shared" si="12"/>
        <v>#DIV/0!</v>
      </c>
      <c r="G118" s="337">
        <f>G119+G123</f>
        <v>0</v>
      </c>
      <c r="H118" s="337"/>
      <c r="I118" s="344"/>
      <c r="J118" s="337"/>
      <c r="K118" s="337"/>
      <c r="L118" s="337"/>
      <c r="M118" s="370"/>
      <c r="N118" s="370"/>
      <c r="O118" s="370"/>
      <c r="P118" s="370">
        <f>SUM(P119)</f>
        <v>28427</v>
      </c>
      <c r="Q118" s="337"/>
      <c r="R118" s="337"/>
      <c r="S118" s="337"/>
      <c r="T118" s="370"/>
      <c r="U118" s="370"/>
      <c r="V118" s="370"/>
      <c r="W118" s="370"/>
      <c r="X118" s="370"/>
      <c r="Y118" s="370"/>
      <c r="Z118" s="370"/>
      <c r="AA118" s="370">
        <f>SUM(P118)</f>
        <v>28427</v>
      </c>
      <c r="AB118" s="350">
        <f>AB119</f>
        <v>21867.32</v>
      </c>
      <c r="AC118" s="358"/>
    </row>
    <row r="119" spans="1:32" ht="24.75" x14ac:dyDescent="0.25">
      <c r="A119" s="495">
        <v>810000</v>
      </c>
      <c r="B119" s="477"/>
      <c r="C119" s="725" t="s">
        <v>3737</v>
      </c>
      <c r="D119" s="479">
        <f>SUM(D120)</f>
        <v>0</v>
      </c>
      <c r="E119" s="353">
        <f>E120</f>
        <v>21867.32</v>
      </c>
      <c r="F119" s="340" t="e">
        <f t="shared" si="12"/>
        <v>#DIV/0!</v>
      </c>
      <c r="G119" s="479">
        <f>SUM(G120:G122)</f>
        <v>0</v>
      </c>
      <c r="H119" s="479"/>
      <c r="I119" s="480"/>
      <c r="J119" s="479"/>
      <c r="K119" s="479"/>
      <c r="L119" s="479"/>
      <c r="M119" s="482"/>
      <c r="N119" s="482"/>
      <c r="O119" s="482"/>
      <c r="P119" s="482">
        <f>SUM(P120)</f>
        <v>28427</v>
      </c>
      <c r="Q119" s="479"/>
      <c r="R119" s="479"/>
      <c r="S119" s="479"/>
      <c r="T119" s="482"/>
      <c r="U119" s="482"/>
      <c r="V119" s="482"/>
      <c r="W119" s="482"/>
      <c r="X119" s="482"/>
      <c r="Y119" s="482"/>
      <c r="Z119" s="482"/>
      <c r="AA119" s="482">
        <f>SUM(P119)</f>
        <v>28427</v>
      </c>
      <c r="AB119" s="526">
        <f>AB120</f>
        <v>21867.32</v>
      </c>
      <c r="AC119" s="527"/>
    </row>
    <row r="120" spans="1:32" x14ac:dyDescent="0.25">
      <c r="A120" s="138"/>
      <c r="B120" s="139">
        <v>811000</v>
      </c>
      <c r="C120" s="333" t="s">
        <v>3738</v>
      </c>
      <c r="D120" s="335">
        <v>0</v>
      </c>
      <c r="E120" s="707">
        <f>E121</f>
        <v>21867.32</v>
      </c>
      <c r="F120" s="708" t="e">
        <f t="shared" si="12"/>
        <v>#DIV/0!</v>
      </c>
      <c r="G120" s="335"/>
      <c r="H120" s="335"/>
      <c r="I120" s="342"/>
      <c r="J120" s="335"/>
      <c r="K120" s="335"/>
      <c r="L120" s="335"/>
      <c r="M120" s="368"/>
      <c r="N120" s="368"/>
      <c r="O120" s="368"/>
      <c r="P120" s="368">
        <f>SUM(P122)</f>
        <v>28427</v>
      </c>
      <c r="Q120" s="335"/>
      <c r="R120" s="335"/>
      <c r="S120" s="335"/>
      <c r="T120" s="368"/>
      <c r="U120" s="368"/>
      <c r="V120" s="368"/>
      <c r="W120" s="368"/>
      <c r="X120" s="368"/>
      <c r="Y120" s="368"/>
      <c r="Z120" s="368"/>
      <c r="AA120" s="368">
        <f>SUM(P120)</f>
        <v>28427</v>
      </c>
      <c r="AB120" s="348">
        <f>SUM(H120,E120,K120,R120)</f>
        <v>21867.32</v>
      </c>
      <c r="AC120" s="356"/>
    </row>
    <row r="121" spans="1:32" hidden="1" x14ac:dyDescent="0.25">
      <c r="A121" s="549"/>
      <c r="B121" s="726">
        <v>811150</v>
      </c>
      <c r="C121" s="727"/>
      <c r="D121" s="368"/>
      <c r="E121" s="715">
        <f>E122</f>
        <v>21867.32</v>
      </c>
      <c r="F121" s="716"/>
      <c r="G121" s="368"/>
      <c r="H121" s="368"/>
      <c r="I121" s="433"/>
      <c r="J121" s="368"/>
      <c r="K121" s="368"/>
      <c r="L121" s="368"/>
      <c r="M121" s="368"/>
      <c r="N121" s="368"/>
      <c r="O121" s="368"/>
      <c r="P121" s="368"/>
      <c r="Q121" s="368"/>
      <c r="R121" s="368"/>
      <c r="S121" s="368"/>
      <c r="T121" s="368"/>
      <c r="U121" s="368"/>
      <c r="V121" s="368"/>
      <c r="W121" s="368"/>
      <c r="X121" s="368"/>
      <c r="Y121" s="368"/>
      <c r="Z121" s="368"/>
      <c r="AA121" s="368">
        <f>SUM(P121)</f>
        <v>0</v>
      </c>
      <c r="AB121" s="348">
        <f>SUM(H121,E121,K121,R121)</f>
        <v>21867.32</v>
      </c>
      <c r="AC121" s="356"/>
    </row>
    <row r="122" spans="1:32" ht="24.75" x14ac:dyDescent="0.25">
      <c r="A122" s="138"/>
      <c r="B122" s="605">
        <v>811153</v>
      </c>
      <c r="C122" s="333" t="s">
        <v>5372</v>
      </c>
      <c r="D122" s="335">
        <v>0</v>
      </c>
      <c r="E122" s="707">
        <v>21867.32</v>
      </c>
      <c r="F122" s="708" t="e">
        <f t="shared" si="12"/>
        <v>#DIV/0!</v>
      </c>
      <c r="G122" s="335"/>
      <c r="H122" s="335"/>
      <c r="I122" s="342"/>
      <c r="J122" s="335"/>
      <c r="K122" s="335"/>
      <c r="L122" s="335"/>
      <c r="M122" s="368"/>
      <c r="N122" s="368"/>
      <c r="O122" s="368"/>
      <c r="P122" s="368">
        <v>28427</v>
      </c>
      <c r="Q122" s="335"/>
      <c r="R122" s="335"/>
      <c r="S122" s="335"/>
      <c r="T122" s="368"/>
      <c r="U122" s="368"/>
      <c r="V122" s="368"/>
      <c r="W122" s="368"/>
      <c r="X122" s="368"/>
      <c r="Y122" s="368"/>
      <c r="Z122" s="368"/>
      <c r="AA122" s="368">
        <f>SUM(P122)</f>
        <v>28427</v>
      </c>
      <c r="AB122" s="348">
        <f>SUM(H122,E122,K122,R122)</f>
        <v>21867.32</v>
      </c>
      <c r="AC122" s="356"/>
    </row>
    <row r="123" spans="1:32" ht="24.75" hidden="1" x14ac:dyDescent="0.25">
      <c r="A123" s="145">
        <v>840000</v>
      </c>
      <c r="B123" s="146"/>
      <c r="C123" s="147" t="s">
        <v>3739</v>
      </c>
      <c r="D123" s="338">
        <f>SUM(D124)</f>
        <v>0</v>
      </c>
      <c r="E123" s="728"/>
      <c r="F123" s="729" t="e">
        <f t="shared" si="12"/>
        <v>#DIV/0!</v>
      </c>
      <c r="G123" s="338">
        <f>SUM(G124)</f>
        <v>0</v>
      </c>
      <c r="H123" s="338"/>
      <c r="I123" s="345"/>
      <c r="J123" s="338"/>
      <c r="K123" s="338"/>
      <c r="L123" s="338"/>
      <c r="M123" s="371"/>
      <c r="N123" s="371"/>
      <c r="O123" s="371"/>
      <c r="P123" s="371"/>
      <c r="Q123" s="338"/>
      <c r="R123" s="338"/>
      <c r="S123" s="338"/>
      <c r="T123" s="371"/>
      <c r="U123" s="371"/>
      <c r="V123" s="371"/>
      <c r="W123" s="371"/>
      <c r="X123" s="371"/>
      <c r="Y123" s="371"/>
      <c r="Z123" s="371"/>
      <c r="AA123" s="371">
        <f>SUM(AA124)</f>
        <v>0</v>
      </c>
      <c r="AB123" s="351"/>
      <c r="AC123" s="359" t="e">
        <f t="shared" si="17"/>
        <v>#DIV/0!</v>
      </c>
    </row>
    <row r="124" spans="1:32" hidden="1" x14ac:dyDescent="0.25">
      <c r="A124" s="138"/>
      <c r="B124" s="140">
        <v>841000</v>
      </c>
      <c r="C124" s="333" t="s">
        <v>3740</v>
      </c>
      <c r="D124" s="335"/>
      <c r="E124" s="707"/>
      <c r="F124" s="708" t="e">
        <f t="shared" si="12"/>
        <v>#DIV/0!</v>
      </c>
      <c r="G124" s="335"/>
      <c r="H124" s="335"/>
      <c r="I124" s="342"/>
      <c r="J124" s="335"/>
      <c r="K124" s="335"/>
      <c r="L124" s="335"/>
      <c r="M124" s="368"/>
      <c r="N124" s="368"/>
      <c r="O124" s="368"/>
      <c r="P124" s="368"/>
      <c r="Q124" s="335"/>
      <c r="R124" s="335"/>
      <c r="S124" s="335"/>
      <c r="T124" s="368"/>
      <c r="U124" s="368"/>
      <c r="V124" s="368"/>
      <c r="W124" s="368"/>
      <c r="X124" s="368"/>
      <c r="Y124" s="368"/>
      <c r="Z124" s="368"/>
      <c r="AA124" s="368">
        <f>SUM(G124,D124)</f>
        <v>0</v>
      </c>
      <c r="AB124" s="348"/>
      <c r="AC124" s="356" t="e">
        <f t="shared" si="17"/>
        <v>#DIV/0!</v>
      </c>
    </row>
    <row r="125" spans="1:32" ht="36.75" x14ac:dyDescent="0.25">
      <c r="A125" s="144" t="s">
        <v>3219</v>
      </c>
      <c r="B125" s="148"/>
      <c r="C125" s="334" t="s">
        <v>3741</v>
      </c>
      <c r="D125" s="337">
        <f>SUM(D126,D131)</f>
        <v>0</v>
      </c>
      <c r="E125" s="353">
        <f>SUM(E126,E131)</f>
        <v>0</v>
      </c>
      <c r="F125" s="340"/>
      <c r="G125" s="337">
        <f>SUM(G126,G131)</f>
        <v>0</v>
      </c>
      <c r="H125" s="337">
        <f>SUM(H126,H131)</f>
        <v>0</v>
      </c>
      <c r="I125" s="344"/>
      <c r="J125" s="337">
        <f>SUM(J126,J131)</f>
        <v>0</v>
      </c>
      <c r="K125" s="337">
        <f>SUM(K126,K131)</f>
        <v>0</v>
      </c>
      <c r="L125" s="337"/>
      <c r="M125" s="370"/>
      <c r="N125" s="370"/>
      <c r="O125" s="370"/>
      <c r="P125" s="370"/>
      <c r="Q125" s="337">
        <f>SUM(Q126,Q131)</f>
        <v>17529792</v>
      </c>
      <c r="R125" s="337">
        <f>SUM(R126,R131)</f>
        <v>6038995.5</v>
      </c>
      <c r="S125" s="344">
        <f>SUM(S126)</f>
        <v>0.34449898207577134</v>
      </c>
      <c r="T125" s="436"/>
      <c r="U125" s="436"/>
      <c r="V125" s="436"/>
      <c r="W125" s="436"/>
      <c r="X125" s="436"/>
      <c r="Y125" s="436"/>
      <c r="Z125" s="436"/>
      <c r="AA125" s="370">
        <f>SUM(AA126,AA131)</f>
        <v>17529792</v>
      </c>
      <c r="AB125" s="525">
        <f>SUM(AB126,AB131)</f>
        <v>6038995.5</v>
      </c>
      <c r="AC125" s="358">
        <f t="shared" si="17"/>
        <v>0.34449898207577134</v>
      </c>
    </row>
    <row r="126" spans="1:32" x14ac:dyDescent="0.25">
      <c r="A126" s="476" t="s">
        <v>3221</v>
      </c>
      <c r="B126" s="477"/>
      <c r="C126" s="478" t="s">
        <v>3742</v>
      </c>
      <c r="D126" s="479">
        <f>SUM(D127)</f>
        <v>0</v>
      </c>
      <c r="E126" s="353">
        <f>SUM(E127)</f>
        <v>0</v>
      </c>
      <c r="F126" s="340"/>
      <c r="G126" s="479">
        <f>SUM(G127)</f>
        <v>0</v>
      </c>
      <c r="H126" s="479">
        <f>SUM(H127)</f>
        <v>0</v>
      </c>
      <c r="I126" s="480"/>
      <c r="J126" s="479">
        <f>SUM(J127)</f>
        <v>0</v>
      </c>
      <c r="K126" s="479">
        <f>SUM(K127)</f>
        <v>0</v>
      </c>
      <c r="L126" s="479"/>
      <c r="M126" s="482"/>
      <c r="N126" s="482"/>
      <c r="O126" s="482"/>
      <c r="P126" s="482"/>
      <c r="Q126" s="479">
        <f>SUM(Q127)</f>
        <v>17529792</v>
      </c>
      <c r="R126" s="479">
        <f>SUM(R127)</f>
        <v>6038995.5</v>
      </c>
      <c r="S126" s="480">
        <f>SUM(S127)</f>
        <v>0.34449898207577134</v>
      </c>
      <c r="T126" s="481"/>
      <c r="U126" s="481"/>
      <c r="V126" s="481"/>
      <c r="W126" s="481"/>
      <c r="X126" s="481"/>
      <c r="Y126" s="481"/>
      <c r="Z126" s="481"/>
      <c r="AA126" s="482">
        <f>SUM(AA127)</f>
        <v>17529792</v>
      </c>
      <c r="AB126" s="526">
        <f>SUM(AB127)</f>
        <v>6038995.5</v>
      </c>
      <c r="AC126" s="527">
        <f t="shared" si="17"/>
        <v>0.34449898207577134</v>
      </c>
    </row>
    <row r="127" spans="1:32" ht="24" x14ac:dyDescent="0.25">
      <c r="A127" s="483" t="s">
        <v>4855</v>
      </c>
      <c r="B127" s="477"/>
      <c r="C127" s="478" t="s">
        <v>3734</v>
      </c>
      <c r="D127" s="479">
        <f>SUM(D128:D130)</f>
        <v>0</v>
      </c>
      <c r="E127" s="353">
        <f>SUM(E128:E130)</f>
        <v>0</v>
      </c>
      <c r="F127" s="340"/>
      <c r="G127" s="479">
        <f>SUM(G128:G130)</f>
        <v>0</v>
      </c>
      <c r="H127" s="479">
        <f>SUM(H128:H130)</f>
        <v>0</v>
      </c>
      <c r="I127" s="480"/>
      <c r="J127" s="479">
        <f>SUM(J128:J130)</f>
        <v>0</v>
      </c>
      <c r="K127" s="479">
        <f>SUM(K128:K130)</f>
        <v>0</v>
      </c>
      <c r="L127" s="479"/>
      <c r="M127" s="482"/>
      <c r="N127" s="482"/>
      <c r="O127" s="482"/>
      <c r="P127" s="482"/>
      <c r="Q127" s="479">
        <f>SUM(Q128:Q130)</f>
        <v>17529792</v>
      </c>
      <c r="R127" s="479">
        <f>SUM(R128:R130)</f>
        <v>6038995.5</v>
      </c>
      <c r="S127" s="480">
        <f>SUM(S129)</f>
        <v>0.34449898207577134</v>
      </c>
      <c r="T127" s="481"/>
      <c r="U127" s="481"/>
      <c r="V127" s="481"/>
      <c r="W127" s="481"/>
      <c r="X127" s="481"/>
      <c r="Y127" s="481"/>
      <c r="Z127" s="481"/>
      <c r="AA127" s="482">
        <f>SUM(AA128:AA130)</f>
        <v>17529792</v>
      </c>
      <c r="AB127" s="526">
        <f>SUM(AB128:AB130)</f>
        <v>6038995.5</v>
      </c>
      <c r="AC127" s="527">
        <f t="shared" si="17"/>
        <v>0.34449898207577134</v>
      </c>
    </row>
    <row r="128" spans="1:32" ht="24" hidden="1" x14ac:dyDescent="0.25">
      <c r="A128" s="136"/>
      <c r="B128" s="136" t="s">
        <v>3261</v>
      </c>
      <c r="C128" s="134" t="s">
        <v>3743</v>
      </c>
      <c r="D128" s="335"/>
      <c r="E128" s="707"/>
      <c r="F128" s="708" t="e">
        <f t="shared" si="12"/>
        <v>#DIV/0!</v>
      </c>
      <c r="G128" s="335"/>
      <c r="H128" s="335"/>
      <c r="I128" s="342"/>
      <c r="J128" s="335"/>
      <c r="K128" s="335"/>
      <c r="L128" s="335"/>
      <c r="M128" s="368"/>
      <c r="N128" s="368"/>
      <c r="O128" s="368"/>
      <c r="P128" s="368"/>
      <c r="Q128" s="335"/>
      <c r="R128" s="335"/>
      <c r="S128" s="342"/>
      <c r="T128" s="433"/>
      <c r="U128" s="433"/>
      <c r="V128" s="433"/>
      <c r="W128" s="433"/>
      <c r="X128" s="433"/>
      <c r="Y128" s="433"/>
      <c r="Z128" s="433"/>
      <c r="AA128" s="368">
        <f>SUM(G128,D128)</f>
        <v>0</v>
      </c>
      <c r="AB128" s="348"/>
      <c r="AC128" s="356" t="e">
        <f t="shared" si="17"/>
        <v>#DIV/0!</v>
      </c>
    </row>
    <row r="129" spans="1:32" ht="24" x14ac:dyDescent="0.25">
      <c r="A129" s="136"/>
      <c r="B129" s="136" t="s">
        <v>4856</v>
      </c>
      <c r="C129" s="134" t="s">
        <v>4857</v>
      </c>
      <c r="D129" s="335"/>
      <c r="E129" s="707">
        <v>0</v>
      </c>
      <c r="F129" s="708"/>
      <c r="G129" s="335"/>
      <c r="H129" s="335"/>
      <c r="I129" s="342"/>
      <c r="J129" s="335"/>
      <c r="K129" s="335"/>
      <c r="L129" s="335"/>
      <c r="M129" s="368"/>
      <c r="N129" s="368"/>
      <c r="O129" s="368"/>
      <c r="P129" s="368"/>
      <c r="Q129" s="335">
        <v>17529792</v>
      </c>
      <c r="R129" s="335">
        <v>6038995.5</v>
      </c>
      <c r="S129" s="342">
        <f>R129/Q129</f>
        <v>0.34449898207577134</v>
      </c>
      <c r="T129" s="433"/>
      <c r="U129" s="433"/>
      <c r="V129" s="433"/>
      <c r="W129" s="433"/>
      <c r="X129" s="433"/>
      <c r="Y129" s="433"/>
      <c r="Z129" s="433"/>
      <c r="AA129" s="368">
        <f>SUM(G129,D129,J129,Q129)</f>
        <v>17529792</v>
      </c>
      <c r="AB129" s="348">
        <f>SUM(H129,E129,K129,R129)</f>
        <v>6038995.5</v>
      </c>
      <c r="AC129" s="356">
        <f t="shared" si="17"/>
        <v>0.34449898207577134</v>
      </c>
    </row>
    <row r="130" spans="1:32" hidden="1" x14ac:dyDescent="0.25">
      <c r="A130" s="138"/>
      <c r="B130" s="136" t="s">
        <v>3744</v>
      </c>
      <c r="C130" s="137" t="s">
        <v>3745</v>
      </c>
      <c r="D130" s="335"/>
      <c r="E130" s="707"/>
      <c r="F130" s="708" t="e">
        <f t="shared" si="12"/>
        <v>#DIV/0!</v>
      </c>
      <c r="G130" s="335"/>
      <c r="H130" s="335"/>
      <c r="I130" s="342"/>
      <c r="J130" s="335"/>
      <c r="K130" s="335"/>
      <c r="L130" s="335"/>
      <c r="M130" s="368"/>
      <c r="N130" s="368"/>
      <c r="O130" s="368"/>
      <c r="P130" s="368"/>
      <c r="Q130" s="335"/>
      <c r="R130" s="335"/>
      <c r="S130" s="335"/>
      <c r="T130" s="368"/>
      <c r="U130" s="368"/>
      <c r="V130" s="368"/>
      <c r="W130" s="368"/>
      <c r="X130" s="368"/>
      <c r="Y130" s="368"/>
      <c r="Z130" s="368"/>
      <c r="AA130" s="368">
        <f>SUM(G130,D130)</f>
        <v>0</v>
      </c>
      <c r="AB130" s="348"/>
      <c r="AC130" s="356" t="e">
        <f t="shared" si="17"/>
        <v>#DIV/0!</v>
      </c>
    </row>
    <row r="131" spans="1:32" ht="24" hidden="1" x14ac:dyDescent="0.25">
      <c r="A131" s="141" t="s">
        <v>3391</v>
      </c>
      <c r="B131" s="142"/>
      <c r="C131" s="143" t="s">
        <v>3746</v>
      </c>
      <c r="D131" s="336">
        <f>SUM(D132)</f>
        <v>0</v>
      </c>
      <c r="E131" s="730"/>
      <c r="F131" s="731" t="e">
        <f t="shared" si="12"/>
        <v>#DIV/0!</v>
      </c>
      <c r="G131" s="336">
        <f>SUM(G132)</f>
        <v>0</v>
      </c>
      <c r="H131" s="336"/>
      <c r="I131" s="343"/>
      <c r="J131" s="336"/>
      <c r="K131" s="336"/>
      <c r="L131" s="336"/>
      <c r="M131" s="369"/>
      <c r="N131" s="369"/>
      <c r="O131" s="369"/>
      <c r="P131" s="369"/>
      <c r="Q131" s="336"/>
      <c r="R131" s="336"/>
      <c r="S131" s="336"/>
      <c r="T131" s="369"/>
      <c r="U131" s="369"/>
      <c r="V131" s="369"/>
      <c r="W131" s="369"/>
      <c r="X131" s="369"/>
      <c r="Y131" s="369"/>
      <c r="Z131" s="369"/>
      <c r="AA131" s="369">
        <f>SUM(AA132)</f>
        <v>0</v>
      </c>
      <c r="AB131" s="349"/>
      <c r="AC131" s="357" t="e">
        <f t="shared" si="17"/>
        <v>#DIV/0!</v>
      </c>
    </row>
    <row r="132" spans="1:32" ht="24" hidden="1" x14ac:dyDescent="0.25">
      <c r="A132" s="138"/>
      <c r="B132" s="136" t="s">
        <v>3483</v>
      </c>
      <c r="C132" s="135" t="s">
        <v>3747</v>
      </c>
      <c r="D132" s="335"/>
      <c r="E132" s="707"/>
      <c r="F132" s="708" t="e">
        <f t="shared" si="12"/>
        <v>#DIV/0!</v>
      </c>
      <c r="G132" s="335"/>
      <c r="H132" s="335"/>
      <c r="I132" s="342"/>
      <c r="J132" s="335"/>
      <c r="K132" s="335"/>
      <c r="L132" s="335"/>
      <c r="M132" s="368"/>
      <c r="N132" s="368"/>
      <c r="O132" s="368"/>
      <c r="P132" s="368"/>
      <c r="Q132" s="335"/>
      <c r="R132" s="335"/>
      <c r="S132" s="335"/>
      <c r="T132" s="368"/>
      <c r="U132" s="368"/>
      <c r="V132" s="368"/>
      <c r="W132" s="368"/>
      <c r="X132" s="368"/>
      <c r="Y132" s="368"/>
      <c r="Z132" s="368"/>
      <c r="AA132" s="368">
        <f>SUM(G132,D132)</f>
        <v>0</v>
      </c>
      <c r="AB132" s="348"/>
      <c r="AC132" s="356" t="e">
        <f t="shared" si="17"/>
        <v>#DIV/0!</v>
      </c>
    </row>
    <row r="133" spans="1:32" ht="33.75" customHeight="1" x14ac:dyDescent="0.25">
      <c r="A133" s="462"/>
      <c r="B133" s="462" t="s">
        <v>3748</v>
      </c>
      <c r="C133" s="463" t="s">
        <v>3749</v>
      </c>
      <c r="D133" s="464">
        <f>SUM(D14,D118,D125)</f>
        <v>417859748.81</v>
      </c>
      <c r="E133" s="732">
        <f>SUM(E14,E118,E125)</f>
        <v>272244450.24999994</v>
      </c>
      <c r="F133" s="733">
        <f t="shared" si="12"/>
        <v>0.65152111689462811</v>
      </c>
      <c r="G133" s="464">
        <f>SUM(G14,G118,G125)</f>
        <v>827000</v>
      </c>
      <c r="H133" s="464">
        <f>SUM(H14,H118,H125)</f>
        <v>574890.43000000005</v>
      </c>
      <c r="I133" s="465">
        <f>H133/G133</f>
        <v>0.69515166868198308</v>
      </c>
      <c r="J133" s="464">
        <f>SUM(J14,J118,J125)</f>
        <v>75844473.390000001</v>
      </c>
      <c r="K133" s="464">
        <f>SUM(K14,K118,K125)</f>
        <v>35198581.409999996</v>
      </c>
      <c r="L133" s="465">
        <f>K133/J133</f>
        <v>0.46408894197215017</v>
      </c>
      <c r="M133" s="467">
        <f>SUM(M58)</f>
        <v>7900000</v>
      </c>
      <c r="N133" s="467">
        <f>SUM(N58)</f>
        <v>3609824.11</v>
      </c>
      <c r="O133" s="466">
        <f>N133/M133</f>
        <v>0.45693976075949366</v>
      </c>
      <c r="P133" s="467">
        <f>P118</f>
        <v>28427</v>
      </c>
      <c r="Q133" s="464">
        <f>SUM(Q14,Q118,Q125)</f>
        <v>17529792</v>
      </c>
      <c r="R133" s="464">
        <f>SUM(R14,R118,R125)</f>
        <v>6038995.5</v>
      </c>
      <c r="S133" s="465">
        <f>R133/Q133</f>
        <v>0.34449898207577134</v>
      </c>
      <c r="T133" s="466"/>
      <c r="U133" s="466"/>
      <c r="V133" s="466"/>
      <c r="W133" s="467">
        <f>W106</f>
        <v>1327000</v>
      </c>
      <c r="X133" s="467">
        <f>X106</f>
        <v>865502.06</v>
      </c>
      <c r="Y133" s="466">
        <f>X133/W133</f>
        <v>0.65222461190655623</v>
      </c>
      <c r="Z133" s="467">
        <f>Z58</f>
        <v>1610000</v>
      </c>
      <c r="AA133" s="467">
        <f>SUM(AA14,AA118,AA125)</f>
        <v>522926441.19999999</v>
      </c>
      <c r="AB133" s="528">
        <f>SUM(AB14,AB118,AB125)</f>
        <v>318532243.75999993</v>
      </c>
      <c r="AC133" s="529">
        <f t="shared" si="17"/>
        <v>0.60913394057687964</v>
      </c>
      <c r="AF133" s="734"/>
    </row>
    <row r="134" spans="1:32" ht="40.5" customHeight="1" x14ac:dyDescent="0.25">
      <c r="A134" s="468"/>
      <c r="B134" s="469" t="s">
        <v>3750</v>
      </c>
      <c r="C134" s="470" t="s">
        <v>4111</v>
      </c>
      <c r="D134" s="471">
        <f>SUM(D11,D14,D118,D125)</f>
        <v>417859748.81</v>
      </c>
      <c r="E134" s="472">
        <f>SUM(E11,E14,E118,E125)</f>
        <v>272244450.24999994</v>
      </c>
      <c r="F134" s="473">
        <f t="shared" si="12"/>
        <v>0.65152111689462811</v>
      </c>
      <c r="G134" s="471">
        <f>SUM(G11,G14,G118,G125)</f>
        <v>827000</v>
      </c>
      <c r="H134" s="471">
        <f>SUM(H11,H14,H118,H125)</f>
        <v>574890.43000000005</v>
      </c>
      <c r="I134" s="474">
        <f>H134/G134</f>
        <v>0.69515166868198308</v>
      </c>
      <c r="J134" s="471">
        <f>SUM(J11,J14,J118,J125)</f>
        <v>75844473.390000001</v>
      </c>
      <c r="K134" s="471">
        <f>SUM(K11,K14,K118,K125)</f>
        <v>35198581.409999996</v>
      </c>
      <c r="L134" s="474">
        <f>K134/J134</f>
        <v>0.46408894197215017</v>
      </c>
      <c r="M134" s="475">
        <f>SUM(M133)</f>
        <v>7900000</v>
      </c>
      <c r="N134" s="475">
        <f>SUM(N133)</f>
        <v>3609824.11</v>
      </c>
      <c r="O134" s="562">
        <f>N134/M134</f>
        <v>0.45693976075949366</v>
      </c>
      <c r="P134" s="475">
        <f>P133</f>
        <v>28427</v>
      </c>
      <c r="Q134" s="471">
        <f>SUM(Q11,Q14,Q118,Q125)</f>
        <v>17529792</v>
      </c>
      <c r="R134" s="471">
        <f>SUM(R11,R14,R118,R125)</f>
        <v>6038995.5</v>
      </c>
      <c r="S134" s="474">
        <f>R134/Q134</f>
        <v>0.34449898207577134</v>
      </c>
      <c r="T134" s="475">
        <f>T11</f>
        <v>1608508.29</v>
      </c>
      <c r="U134" s="475">
        <f>SUM(U12:U13)</f>
        <v>3039139.86</v>
      </c>
      <c r="V134" s="562">
        <f>U134/T134</f>
        <v>1.8894151052214967</v>
      </c>
      <c r="W134" s="475">
        <f>SUM(W133)</f>
        <v>1327000</v>
      </c>
      <c r="X134" s="475">
        <f>SUM(X133)</f>
        <v>865502.06</v>
      </c>
      <c r="Y134" s="562">
        <f>X134/W134</f>
        <v>0.65222461190655623</v>
      </c>
      <c r="Z134" s="475">
        <f>Z133</f>
        <v>1610000</v>
      </c>
      <c r="AA134" s="475">
        <f>SUM(AA11,AA14,AA118,AA125)</f>
        <v>524534949.49000001</v>
      </c>
      <c r="AB134" s="530">
        <f>SUM(AB11,AB14,AB118,AB125)</f>
        <v>321571383.61999995</v>
      </c>
      <c r="AC134" s="531">
        <f>AB134/AA134</f>
        <v>0.61305997614202934</v>
      </c>
    </row>
    <row r="135" spans="1:32" x14ac:dyDescent="0.25">
      <c r="A135" s="149"/>
      <c r="B135" s="149"/>
      <c r="C135" s="150"/>
      <c r="D135" s="339"/>
      <c r="E135" s="354"/>
      <c r="F135" s="341"/>
      <c r="G135" s="151"/>
      <c r="H135" s="151"/>
      <c r="I135" s="346"/>
      <c r="J135" s="151"/>
      <c r="K135" s="151"/>
      <c r="L135" s="151"/>
      <c r="M135" s="151"/>
      <c r="N135" s="151"/>
      <c r="O135" s="151"/>
      <c r="P135" s="151"/>
      <c r="Q135" s="151"/>
      <c r="R135" s="151"/>
      <c r="S135" s="151"/>
      <c r="T135" s="151"/>
      <c r="U135" s="151"/>
      <c r="V135" s="151"/>
      <c r="W135" s="151"/>
      <c r="X135" s="151"/>
      <c r="Y135" s="151"/>
      <c r="Z135" s="151"/>
      <c r="AA135" s="151"/>
      <c r="AB135" s="151"/>
      <c r="AC135" s="151"/>
    </row>
    <row r="136" spans="1:32" hidden="1" x14ac:dyDescent="0.25">
      <c r="A136" s="149"/>
      <c r="B136" s="149"/>
      <c r="C136" s="560" t="s">
        <v>5061</v>
      </c>
      <c r="D136" s="339"/>
      <c r="E136" s="1123" t="s">
        <v>5060</v>
      </c>
      <c r="F136" s="1123"/>
      <c r="G136" s="151"/>
      <c r="H136" s="1122" t="s">
        <v>5060</v>
      </c>
      <c r="I136" s="1122"/>
      <c r="J136" s="151"/>
      <c r="K136" s="1122" t="s">
        <v>5060</v>
      </c>
      <c r="L136" s="1122"/>
      <c r="M136" s="687"/>
      <c r="N136" s="687"/>
      <c r="O136" s="687"/>
      <c r="P136" s="745"/>
      <c r="Q136" s="151"/>
      <c r="R136" s="1122" t="s">
        <v>5060</v>
      </c>
      <c r="S136" s="1122"/>
      <c r="T136" s="151"/>
      <c r="U136" s="1122" t="s">
        <v>5060</v>
      </c>
      <c r="V136" s="1122"/>
      <c r="W136" s="151"/>
      <c r="X136" s="1122" t="s">
        <v>5060</v>
      </c>
      <c r="Y136" s="1122"/>
      <c r="Z136" s="751"/>
      <c r="AA136" s="687"/>
      <c r="AB136" s="151"/>
      <c r="AC136" s="687" t="s">
        <v>5060</v>
      </c>
    </row>
    <row r="137" spans="1:32" hidden="1" x14ac:dyDescent="0.25">
      <c r="A137" s="149"/>
      <c r="B137" s="149"/>
      <c r="C137" s="559"/>
      <c r="D137" s="339"/>
      <c r="E137" s="1124"/>
      <c r="F137" s="1124"/>
      <c r="G137" s="151"/>
      <c r="H137" s="558"/>
      <c r="I137" s="561"/>
      <c r="J137" s="151"/>
      <c r="K137" s="558"/>
      <c r="L137" s="558"/>
      <c r="M137" s="575"/>
      <c r="N137" s="575"/>
      <c r="O137" s="575"/>
      <c r="P137" s="575"/>
      <c r="Q137" s="151"/>
      <c r="R137" s="558"/>
      <c r="S137" s="558"/>
      <c r="T137" s="151"/>
      <c r="U137" s="558"/>
      <c r="V137" s="558"/>
      <c r="W137" s="151"/>
      <c r="X137" s="558"/>
      <c r="Y137" s="558"/>
      <c r="Z137" s="558"/>
      <c r="AA137" s="558"/>
      <c r="AB137" s="151"/>
      <c r="AC137" s="558"/>
    </row>
    <row r="138" spans="1:32" x14ac:dyDescent="0.25">
      <c r="A138" s="149"/>
      <c r="B138" s="149"/>
      <c r="C138" s="150"/>
      <c r="D138" s="339"/>
      <c r="E138" s="354"/>
      <c r="F138" s="341"/>
      <c r="G138" s="151"/>
      <c r="H138" s="151"/>
      <c r="I138" s="346"/>
      <c r="J138" s="151"/>
      <c r="K138" s="151"/>
      <c r="L138" s="151"/>
      <c r="M138" s="151"/>
      <c r="N138" s="151"/>
      <c r="O138" s="151"/>
      <c r="P138" s="151"/>
      <c r="Q138" s="151"/>
      <c r="R138" s="151"/>
      <c r="S138" s="151"/>
      <c r="T138" s="151"/>
      <c r="U138" s="151"/>
      <c r="V138" s="151"/>
      <c r="W138" s="151"/>
      <c r="X138" s="151"/>
      <c r="Y138" s="151"/>
      <c r="Z138" s="151"/>
      <c r="AA138" s="151"/>
      <c r="AB138" s="151"/>
      <c r="AC138" s="151"/>
    </row>
    <row r="139" spans="1:32" ht="30" x14ac:dyDescent="0.25">
      <c r="C139" s="735" t="s">
        <v>4746</v>
      </c>
      <c r="D139" s="736">
        <f>D134-'По основ. нам.'!C89</f>
        <v>0</v>
      </c>
      <c r="E139" s="737"/>
      <c r="F139" s="738"/>
      <c r="G139" s="737"/>
      <c r="H139" s="737"/>
      <c r="I139" s="738"/>
      <c r="J139" s="737"/>
      <c r="K139" s="737"/>
      <c r="L139" s="737"/>
      <c r="M139" s="737"/>
      <c r="N139" s="737"/>
      <c r="O139" s="737"/>
      <c r="P139" s="737"/>
      <c r="Q139" s="737"/>
      <c r="R139" s="737"/>
      <c r="S139" s="737"/>
      <c r="T139" s="737"/>
      <c r="U139" s="737"/>
      <c r="V139" s="737"/>
      <c r="W139" s="737"/>
      <c r="X139" s="737"/>
      <c r="Y139" s="737"/>
      <c r="Z139" s="737"/>
      <c r="AA139" s="737"/>
      <c r="AB139" s="737"/>
      <c r="AC139" s="737"/>
    </row>
    <row r="140" spans="1:32" x14ac:dyDescent="0.25">
      <c r="AA140" s="617"/>
      <c r="AC140" s="617"/>
    </row>
    <row r="141" spans="1:32" x14ac:dyDescent="0.25">
      <c r="AA141" s="617">
        <f>D134+G134+J134+M134+P134+Q134+T134+W134+Z134</f>
        <v>524534949.49000001</v>
      </c>
      <c r="AB141" s="741"/>
    </row>
    <row r="142" spans="1:32" x14ac:dyDescent="0.25">
      <c r="L142" s="617"/>
      <c r="T142" s="617"/>
      <c r="AA142" s="617"/>
      <c r="AB142" s="617"/>
      <c r="AC142" s="617"/>
    </row>
    <row r="144" spans="1:32" x14ac:dyDescent="0.25">
      <c r="AA144" s="617"/>
    </row>
  </sheetData>
  <mergeCells count="39">
    <mergeCell ref="X136:Y136"/>
    <mergeCell ref="U136:V136"/>
    <mergeCell ref="E136:F136"/>
    <mergeCell ref="E137:F137"/>
    <mergeCell ref="H136:I136"/>
    <mergeCell ref="K136:L136"/>
    <mergeCell ref="R136:S136"/>
    <mergeCell ref="D9:D10"/>
    <mergeCell ref="E9:E10"/>
    <mergeCell ref="K9:K10"/>
    <mergeCell ref="L9:L10"/>
    <mergeCell ref="F9:F10"/>
    <mergeCell ref="G9:G10"/>
    <mergeCell ref="H9:H10"/>
    <mergeCell ref="I9:I10"/>
    <mergeCell ref="J9:J10"/>
    <mergeCell ref="A1:AC1"/>
    <mergeCell ref="AB9:AB10"/>
    <mergeCell ref="AC9:AC10"/>
    <mergeCell ref="Q9:Q10"/>
    <mergeCell ref="R9:R10"/>
    <mergeCell ref="S9:S10"/>
    <mergeCell ref="AA9:AA10"/>
    <mergeCell ref="T9:T10"/>
    <mergeCell ref="V9:V10"/>
    <mergeCell ref="U9:U10"/>
    <mergeCell ref="W9:W10"/>
    <mergeCell ref="X9:X10"/>
    <mergeCell ref="Y9:Y10"/>
    <mergeCell ref="A9:A10"/>
    <mergeCell ref="B9:B10"/>
    <mergeCell ref="C9:C10"/>
    <mergeCell ref="A7:AC7"/>
    <mergeCell ref="A8:AC8"/>
    <mergeCell ref="A2:AC2"/>
    <mergeCell ref="A6:AC6"/>
    <mergeCell ref="A5:AC5"/>
    <mergeCell ref="A4:AC4"/>
    <mergeCell ref="A3:AC3"/>
  </mergeCells>
  <conditionalFormatting sqref="D139:AC139">
    <cfRule type="cellIs" dxfId="7" priority="1" operator="notEqual">
      <formula>0</formula>
    </cfRule>
    <cfRule type="cellIs" dxfId="6" priority="2" operator="notEqual">
      <formula>0</formula>
    </cfRule>
    <cfRule type="cellIs" dxfId="5" priority="4" operator="lessThan">
      <formula>0</formula>
    </cfRule>
  </conditionalFormatting>
  <conditionalFormatting sqref="AG20:AI20">
    <cfRule type="cellIs" dxfId="4" priority="3" operator="notEqual">
      <formula>0</formula>
    </cfRule>
  </conditionalFormatting>
  <printOptions horizontalCentered="1"/>
  <pageMargins left="0" right="0" top="0.196850393700787" bottom="0.196850393700787" header="0.31496062992126" footer="0.31496062992126"/>
  <pageSetup scale="71" fitToWidth="0" fitToHeight="0" orientation="landscape" r:id="rId1"/>
  <rowBreaks count="2" manualBreakCount="2">
    <brk id="46" max="28" man="1"/>
    <brk id="97" max="28" man="1"/>
  </rowBreaks>
  <colBreaks count="1" manualBreakCount="1">
    <brk id="27" max="1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P96"/>
  <sheetViews>
    <sheetView topLeftCell="A41" workbookViewId="0">
      <selection activeCell="R12" sqref="R12"/>
    </sheetView>
  </sheetViews>
  <sheetFormatPr defaultRowHeight="15" x14ac:dyDescent="0.25"/>
  <cols>
    <col min="1" max="1" width="7" style="84" customWidth="1"/>
    <col min="2" max="2" width="39.85546875" style="84" customWidth="1"/>
    <col min="3" max="3" width="15.42578125" style="203" customWidth="1"/>
    <col min="4" max="4" width="15.28515625" style="203" hidden="1" customWidth="1"/>
    <col min="5" max="5" width="8.7109375" style="203" hidden="1" customWidth="1"/>
    <col min="6" max="6" width="15.140625" style="203" customWidth="1"/>
    <col min="7" max="7" width="15.140625" style="203" hidden="1" customWidth="1"/>
    <col min="8" max="8" width="8.85546875" style="236" hidden="1" customWidth="1"/>
    <col min="9" max="9" width="15.5703125" style="203" customWidth="1"/>
    <col min="10" max="11" width="12.5703125" style="203" hidden="1" customWidth="1"/>
    <col min="12" max="12" width="9.140625" style="84"/>
    <col min="13" max="13" width="16" style="84" customWidth="1"/>
    <col min="14" max="15" width="9.140625" style="84"/>
    <col min="16" max="16" width="13.7109375" style="84" bestFit="1" customWidth="1"/>
    <col min="17" max="16384" width="9.140625" style="84"/>
  </cols>
  <sheetData>
    <row r="1" spans="1:16" x14ac:dyDescent="0.25">
      <c r="A1" s="1126" t="s">
        <v>5395</v>
      </c>
      <c r="B1" s="1126"/>
      <c r="C1" s="1126"/>
      <c r="D1" s="1126"/>
      <c r="E1" s="1126"/>
      <c r="F1" s="1126"/>
      <c r="G1" s="1126"/>
      <c r="H1" s="1126"/>
      <c r="I1" s="1126"/>
    </row>
    <row r="2" spans="1:16" hidden="1" x14ac:dyDescent="0.25">
      <c r="A2" s="1127" t="s">
        <v>5070</v>
      </c>
      <c r="B2" s="1127"/>
      <c r="C2" s="1127"/>
      <c r="D2" s="1127"/>
      <c r="E2" s="1127"/>
      <c r="F2" s="1127"/>
      <c r="G2" s="1127"/>
      <c r="H2" s="1127"/>
      <c r="I2" s="1127"/>
      <c r="J2" s="1127"/>
      <c r="K2" s="1127"/>
    </row>
    <row r="3" spans="1:16" ht="15" customHeight="1" x14ac:dyDescent="0.25">
      <c r="A3" s="1125" t="s">
        <v>5077</v>
      </c>
      <c r="B3" s="1125"/>
      <c r="C3" s="1125"/>
      <c r="D3" s="1125"/>
      <c r="E3" s="1125"/>
      <c r="F3" s="1125"/>
      <c r="G3" s="1125"/>
      <c r="H3" s="1125"/>
      <c r="I3" s="1125"/>
      <c r="J3" s="1125"/>
      <c r="K3" s="1125"/>
    </row>
    <row r="4" spans="1:16" hidden="1" x14ac:dyDescent="0.25">
      <c r="A4" s="107"/>
      <c r="B4" s="108"/>
      <c r="C4" s="193"/>
      <c r="D4" s="193"/>
      <c r="E4" s="193"/>
      <c r="F4" s="193"/>
      <c r="G4" s="193"/>
      <c r="H4" s="231"/>
      <c r="I4" s="193"/>
    </row>
    <row r="5" spans="1:16" ht="31.5" x14ac:dyDescent="0.25">
      <c r="A5" s="109" t="s">
        <v>3760</v>
      </c>
      <c r="B5" s="109" t="s">
        <v>3761</v>
      </c>
      <c r="C5" s="194" t="s">
        <v>25</v>
      </c>
      <c r="D5" s="194" t="s">
        <v>4808</v>
      </c>
      <c r="E5" s="194" t="s">
        <v>4753</v>
      </c>
      <c r="F5" s="194" t="s">
        <v>3759</v>
      </c>
      <c r="G5" s="194" t="s">
        <v>4809</v>
      </c>
      <c r="H5" s="232" t="s">
        <v>4753</v>
      </c>
      <c r="I5" s="194" t="s">
        <v>4107</v>
      </c>
      <c r="J5" s="194" t="s">
        <v>4755</v>
      </c>
      <c r="K5" s="194" t="s">
        <v>4753</v>
      </c>
      <c r="P5" s="203">
        <f>I7+I64</f>
        <v>520764949.49000001</v>
      </c>
    </row>
    <row r="6" spans="1:16" s="239" customFormat="1" x14ac:dyDescent="0.25">
      <c r="A6" s="237" t="s">
        <v>3764</v>
      </c>
      <c r="B6" s="237">
        <v>2</v>
      </c>
      <c r="C6" s="238">
        <v>3</v>
      </c>
      <c r="D6" s="238">
        <v>3</v>
      </c>
      <c r="E6" s="238">
        <v>4</v>
      </c>
      <c r="F6" s="238">
        <v>4</v>
      </c>
      <c r="G6" s="238">
        <v>6</v>
      </c>
      <c r="H6" s="238">
        <v>7</v>
      </c>
      <c r="I6" s="238">
        <v>5</v>
      </c>
      <c r="J6" s="240">
        <v>9</v>
      </c>
      <c r="K6" s="240">
        <v>10</v>
      </c>
    </row>
    <row r="7" spans="1:16" x14ac:dyDescent="0.25">
      <c r="A7" s="157" t="s">
        <v>3918</v>
      </c>
      <c r="B7" s="156" t="s">
        <v>4214</v>
      </c>
      <c r="C7" s="229">
        <f>SUM(C8,C17,C24,C30,C35,C41,C48,C50,C57)</f>
        <v>375013624</v>
      </c>
      <c r="D7" s="229">
        <f>SUM(D8,D17,D24,D30,D35,D41,D48,D50,D57)</f>
        <v>291343554.24000001</v>
      </c>
      <c r="E7" s="230">
        <f t="shared" ref="E7:E14" si="0">D7/C7</f>
        <v>0.776887919783949</v>
      </c>
      <c r="F7" s="229">
        <f>SUM(F8,F17,F24,F30,F35,F41,F48,F50,F57)</f>
        <v>41441743.129999995</v>
      </c>
      <c r="G7" s="229">
        <f>SUM(G8,G17,G24,G30,G35,G41,G48,G50,G57)</f>
        <v>21742631.260000002</v>
      </c>
      <c r="H7" s="230">
        <f>G7/F7</f>
        <v>0.52465532619597621</v>
      </c>
      <c r="I7" s="229">
        <f>SUM(F7,C7)</f>
        <v>416455367.13</v>
      </c>
      <c r="J7" s="229">
        <f>D7+G7</f>
        <v>313086185.5</v>
      </c>
      <c r="K7" s="230">
        <f>J7/I7</f>
        <v>0.75178809114079093</v>
      </c>
    </row>
    <row r="8" spans="1:16" x14ac:dyDescent="0.25">
      <c r="A8" s="110" t="s">
        <v>3765</v>
      </c>
      <c r="B8" s="111" t="s">
        <v>3766</v>
      </c>
      <c r="C8" s="219">
        <f>SUM(C9:C16)</f>
        <v>104157898</v>
      </c>
      <c r="D8" s="195">
        <f>SUM(D9:D16)</f>
        <v>81028628.699999988</v>
      </c>
      <c r="E8" s="211">
        <f t="shared" si="0"/>
        <v>0.77794032191394635</v>
      </c>
      <c r="F8" s="219">
        <f>SUM(F9:F16)</f>
        <v>10670355</v>
      </c>
      <c r="G8" s="219">
        <f>SUM(G9:G16)</f>
        <v>8909610.5999999996</v>
      </c>
      <c r="H8" s="206">
        <f>G8/F8</f>
        <v>0.83498727080776591</v>
      </c>
      <c r="I8" s="219">
        <f t="shared" ref="I8:I37" si="1">C8+F8</f>
        <v>114828253</v>
      </c>
      <c r="J8" s="219">
        <f t="shared" ref="J8:J71" si="2">D8+G8</f>
        <v>89938239.299999982</v>
      </c>
      <c r="K8" s="206">
        <f t="shared" ref="K8:K14" si="3">J8/I8</f>
        <v>0.78324137962806051</v>
      </c>
    </row>
    <row r="9" spans="1:16" x14ac:dyDescent="0.25">
      <c r="A9" s="112">
        <v>411</v>
      </c>
      <c r="B9" s="113" t="s">
        <v>3767</v>
      </c>
      <c r="C9" s="220">
        <f>SUMIF('ПО КОРИСНИЦИМА'!$F$17:$F$1823,'По основ. нам.'!A9,'ПО КОРИСНИЦИМА'!$H$17:$H$1823)</f>
        <v>81253438</v>
      </c>
      <c r="D9" s="196">
        <f>SUMIF('ПО КОРИСНИЦИМА'!$F$17:$F$1823,'По основ. нам.'!A9,'ПО КОРИСНИЦИМА'!$I$17:$I$1823)</f>
        <v>61266056.659999996</v>
      </c>
      <c r="E9" s="212">
        <f t="shared" si="0"/>
        <v>0.75401186913469431</v>
      </c>
      <c r="F9" s="220">
        <f>SUMIF('ПО КОРИСНИЦИМА'!$F$17:$F$1823,'По основ. нам.'!A9,'ПО КОРИСНИЦИМА'!$L$17:$L$1823)</f>
        <v>9005742</v>
      </c>
      <c r="G9" s="220">
        <f>SUMIF('ПО КОРИСНИЦИМА'!$F$17:$F$1823,'По основ. нам.'!A9,'ПО КОРИСНИЦИМА'!$M$17:$M$1823)</f>
        <v>7542532.3300000001</v>
      </c>
      <c r="H9" s="207"/>
      <c r="I9" s="220">
        <f t="shared" si="1"/>
        <v>90259180</v>
      </c>
      <c r="J9" s="220">
        <f>D9+G9</f>
        <v>68808588.989999995</v>
      </c>
      <c r="K9" s="207">
        <f t="shared" si="3"/>
        <v>0.76234449493115264</v>
      </c>
      <c r="M9" s="203">
        <f>SUM(C9:C10)</f>
        <v>95453732</v>
      </c>
    </row>
    <row r="10" spans="1:16" x14ac:dyDescent="0.25">
      <c r="A10" s="112">
        <v>412</v>
      </c>
      <c r="B10" s="113" t="s">
        <v>3768</v>
      </c>
      <c r="C10" s="220">
        <f>SUMIF('ПО КОРИСНИЦИМА'!$F$17:$F$1823,'По основ. нам.'!A10,'ПО КОРИСНИЦИМА'!$H$17:$H$1823)</f>
        <v>14200294</v>
      </c>
      <c r="D10" s="196">
        <f>SUMIF('ПО КОРИСНИЦИМА'!$F$17:$F$1823,'По основ. нам.'!A10,'ПО КОРИСНИЦИМА'!$I$17:$I$1823)</f>
        <v>10979036.719999999</v>
      </c>
      <c r="E10" s="212">
        <f t="shared" si="0"/>
        <v>0.77315559241238241</v>
      </c>
      <c r="F10" s="220">
        <f>SUMIF('ПО КОРИСНИЦИМА'!$F$17:$F$1823,'По основ. нам.'!A10,'ПО КОРИСНИЦИМА'!$L$17:$L$1823)</f>
        <v>1614613</v>
      </c>
      <c r="G10" s="220">
        <f>SUMIF('ПО КОРИСНИЦИМА'!$F$17:$F$1823,'По основ. нам.'!A10,'ПО КОРИСНИЦИМА'!$M$17:$M$1823)</f>
        <v>1352078.27</v>
      </c>
      <c r="H10" s="207"/>
      <c r="I10" s="220">
        <f t="shared" si="1"/>
        <v>15814907</v>
      </c>
      <c r="J10" s="220">
        <f t="shared" si="2"/>
        <v>12331114.989999998</v>
      </c>
      <c r="K10" s="207">
        <f t="shared" si="3"/>
        <v>0.77971466983650284</v>
      </c>
    </row>
    <row r="11" spans="1:16" x14ac:dyDescent="0.25">
      <c r="A11" s="114">
        <v>413</v>
      </c>
      <c r="B11" s="113" t="s">
        <v>3769</v>
      </c>
      <c r="C11" s="220">
        <f>SUMIF('ПО КОРИСНИЦИМА'!$F$17:$F$1823,'По основ. нам.'!A11,'ПО КОРИСНИЦИМА'!$H$17:$H$1823)</f>
        <v>200000</v>
      </c>
      <c r="D11" s="196">
        <f>SUMIF('ПО КОРИСНИЦИМА'!$F$17:$F$1823,'По основ. нам.'!A11,'ПО КОРИСНИЦИМА'!$I$17:$I$1823)</f>
        <v>2653597.5</v>
      </c>
      <c r="E11" s="212">
        <f t="shared" si="0"/>
        <v>13.2679875</v>
      </c>
      <c r="F11" s="220">
        <f>SUMIF('ПО КОРИСНИЦИМА'!$F$17:$F$1823,'По основ. нам.'!A11,'ПО КОРИСНИЦИМА'!$L$17:$L$1823)</f>
        <v>0</v>
      </c>
      <c r="G11" s="220">
        <f>SUMIF('ПО КОРИСНИЦИМА'!$F$17:$F$1823,'По основ. нам.'!A11,'ПО КОРИСНИЦИМА'!$M$17:$M$1823)</f>
        <v>0</v>
      </c>
      <c r="H11" s="207"/>
      <c r="I11" s="220">
        <f t="shared" si="1"/>
        <v>200000</v>
      </c>
      <c r="J11" s="220">
        <f t="shared" si="2"/>
        <v>2653597.5</v>
      </c>
      <c r="K11" s="207">
        <f t="shared" si="3"/>
        <v>13.2679875</v>
      </c>
    </row>
    <row r="12" spans="1:16" x14ac:dyDescent="0.25">
      <c r="A12" s="112" t="s">
        <v>3770</v>
      </c>
      <c r="B12" s="113" t="s">
        <v>3771</v>
      </c>
      <c r="C12" s="220">
        <f>SUMIF('ПО КОРИСНИЦИМА'!$F$17:$F$1823,'По основ. нам.'!A12,'ПО КОРИСНИЦИМА'!$H$17:$H$1823)</f>
        <v>804256</v>
      </c>
      <c r="D12" s="196">
        <f>SUMIF('ПО КОРИСНИЦИМА'!$F$17:$F$1823,'По основ. нам.'!A12,'ПО КОРИСНИЦИМА'!$I$17:$I$1823)</f>
        <v>412963.6</v>
      </c>
      <c r="E12" s="212">
        <f t="shared" si="0"/>
        <v>0.51347282457327015</v>
      </c>
      <c r="F12" s="220">
        <f>SUMIF('ПО КОРИСНИЦИМА'!$F$17:$F$1823,'По основ. нам.'!A12,'ПО КОРИСНИЦИМА'!$L$17:$L$1823)</f>
        <v>50000</v>
      </c>
      <c r="G12" s="220">
        <f>SUMIF('ПО КОРИСНИЦИМА'!$F$17:$F$1823,'По основ. нам.'!A12,'ПО КОРИСНИЦИМА'!$M$17:$M$1823)</f>
        <v>15000</v>
      </c>
      <c r="H12" s="207">
        <f>G12/F12</f>
        <v>0.3</v>
      </c>
      <c r="I12" s="220">
        <f t="shared" si="1"/>
        <v>854256</v>
      </c>
      <c r="J12" s="220">
        <f t="shared" si="2"/>
        <v>427963.6</v>
      </c>
      <c r="K12" s="207">
        <f t="shared" si="3"/>
        <v>0.50097816111329618</v>
      </c>
    </row>
    <row r="13" spans="1:16" x14ac:dyDescent="0.25">
      <c r="A13" s="112" t="s">
        <v>3772</v>
      </c>
      <c r="B13" s="113" t="s">
        <v>3773</v>
      </c>
      <c r="C13" s="220">
        <f>SUMIF('ПО КОРИСНИЦИМА'!$F$17:$F$1823,'По основ. нам.'!A13,'ПО КОРИСНИЦИМА'!$H$17:$H$1823)</f>
        <v>5492910</v>
      </c>
      <c r="D13" s="196">
        <f>SUMIF('ПО КОРИСНИЦИМА'!$F$17:$F$1823,'По основ. нам.'!A13,'ПО КОРИСНИЦИМА'!$I$17:$I$1823)</f>
        <v>3442303.65</v>
      </c>
      <c r="E13" s="212">
        <f t="shared" si="0"/>
        <v>0.6266812399984707</v>
      </c>
      <c r="F13" s="220">
        <f>SUMIF('ПО КОРИСНИЦИМА'!$F$17:$F$1823,'По основ. нам.'!A13,'ПО КОРИСНИЦИМА'!$L$17:$L$1823)</f>
        <v>0</v>
      </c>
      <c r="G13" s="220">
        <f>SUMIF('ПО КОРИСНИЦИМА'!$F$17:$F$1823,'По основ. нам.'!A13,'ПО КОРИСНИЦИМА'!$M$17:$M$1823)</f>
        <v>0</v>
      </c>
      <c r="H13" s="207"/>
      <c r="I13" s="220">
        <f t="shared" si="1"/>
        <v>5492910</v>
      </c>
      <c r="J13" s="220">
        <f t="shared" si="2"/>
        <v>3442303.65</v>
      </c>
      <c r="K13" s="207">
        <f t="shared" si="3"/>
        <v>0.6266812399984707</v>
      </c>
    </row>
    <row r="14" spans="1:16" x14ac:dyDescent="0.25">
      <c r="A14" s="112" t="s">
        <v>3774</v>
      </c>
      <c r="B14" s="113" t="s">
        <v>3775</v>
      </c>
      <c r="C14" s="220">
        <f>SUMIF('ПО КОРИСНИЦИМА'!$F$17:$F$1823,'По основ. нам.'!A14,'ПО КОРИСНИЦИМА'!$H$17:$H$1823)</f>
        <v>2207000</v>
      </c>
      <c r="D14" s="196">
        <f>SUMIF('ПО КОРИСНИЦИМА'!$F$17:$F$1823,'По основ. нам.'!A14,'ПО КОРИСНИЦИМА'!$I$17:$I$1823)</f>
        <v>2274670.5700000003</v>
      </c>
      <c r="E14" s="212">
        <f t="shared" si="0"/>
        <v>1.0306617897598551</v>
      </c>
      <c r="F14" s="220">
        <f>SUMIF('ПО КОРИСНИЦИМА'!$F$17:$F$1823,'По основ. нам.'!A14,'ПО КОРИСНИЦИМА'!$L$17:$L$1823)</f>
        <v>0</v>
      </c>
      <c r="G14" s="220">
        <f>SUMIF('ПО КОРИСНИЦИМА'!$F$17:$F$1823,'По основ. нам.'!A14,'ПО КОРИСНИЦИМА'!$M$17:$M$1823)</f>
        <v>0</v>
      </c>
      <c r="H14" s="207"/>
      <c r="I14" s="220">
        <f t="shared" si="1"/>
        <v>2207000</v>
      </c>
      <c r="J14" s="220">
        <f t="shared" si="2"/>
        <v>2274670.5700000003</v>
      </c>
      <c r="K14" s="207">
        <f t="shared" si="3"/>
        <v>1.0306617897598551</v>
      </c>
    </row>
    <row r="15" spans="1:16" x14ac:dyDescent="0.25">
      <c r="A15" s="112">
        <v>417</v>
      </c>
      <c r="B15" s="113" t="s">
        <v>3776</v>
      </c>
      <c r="C15" s="220">
        <f>SUMIF('ПО КОРИСНИЦИМА'!$F$17:$F$1823,'По основ. нам.'!A15,'ПО КОРИСНИЦИМА'!$H$17:$H$1823)</f>
        <v>0</v>
      </c>
      <c r="D15" s="196">
        <f>SUMIF('ПО КОРИСНИЦИМА'!$F$17:$F$1823,'По основ. нам.'!A15,'ПО КОРИСНИЦИМА'!$I$17:$I$1823)</f>
        <v>0</v>
      </c>
      <c r="E15" s="212"/>
      <c r="F15" s="220">
        <f>SUMIF('ПО КОРИСНИЦИМА'!$F$17:$F$1823,'По основ. нам.'!A15,'ПО КОРИСНИЦИМА'!$L$17:$L$1823)</f>
        <v>0</v>
      </c>
      <c r="G15" s="220">
        <f>SUMIF('ПО КОРИСНИЦИМА'!$F$17:$F$1823,'По основ. нам.'!A15,'ПО КОРИСНИЦИМА'!$M$17:$M$1823)</f>
        <v>0</v>
      </c>
      <c r="H15" s="207"/>
      <c r="I15" s="220">
        <f t="shared" si="1"/>
        <v>0</v>
      </c>
      <c r="J15" s="220">
        <f t="shared" si="2"/>
        <v>0</v>
      </c>
      <c r="K15" s="207"/>
    </row>
    <row r="16" spans="1:16" x14ac:dyDescent="0.25">
      <c r="A16" s="112">
        <v>418</v>
      </c>
      <c r="B16" s="113" t="s">
        <v>3777</v>
      </c>
      <c r="C16" s="220">
        <f>SUMIF('ПО КОРИСНИЦИМА'!$F$17:$F$1823,'По основ. нам.'!A16,'ПО КОРИСНИЦИМА'!$H$17:$H$1823)</f>
        <v>0</v>
      </c>
      <c r="D16" s="196">
        <f>SUMIF('ПО КОРИСНИЦИМА'!$F$17:$F$1823,'По основ. нам.'!A16,'ПО КОРИСНИЦИМА'!$I$17:$I$1823)</f>
        <v>0</v>
      </c>
      <c r="E16" s="212"/>
      <c r="F16" s="220">
        <f>SUMIF('ПО КОРИСНИЦИМА'!$F$17:$F$1823,'По основ. нам.'!A16,'ПО КОРИСНИЦИМА'!$L$17:$L$1823)</f>
        <v>0</v>
      </c>
      <c r="G16" s="220">
        <f>SUMIF('ПО КОРИСНИЦИМА'!$F$17:$F$1823,'По основ. нам.'!A16,'ПО КОРИСНИЦИМА'!$M$17:$M$1823)</f>
        <v>0</v>
      </c>
      <c r="H16" s="207"/>
      <c r="I16" s="226">
        <f t="shared" si="1"/>
        <v>0</v>
      </c>
      <c r="J16" s="226">
        <f t="shared" si="2"/>
        <v>0</v>
      </c>
      <c r="K16" s="208"/>
    </row>
    <row r="17" spans="1:11" x14ac:dyDescent="0.25">
      <c r="A17" s="110" t="s">
        <v>3778</v>
      </c>
      <c r="B17" s="111" t="s">
        <v>3779</v>
      </c>
      <c r="C17" s="219">
        <f>SUM(C18:C23)</f>
        <v>147011654</v>
      </c>
      <c r="D17" s="195">
        <f>SUM(D18:D23)</f>
        <v>114267350.00999999</v>
      </c>
      <c r="E17" s="211">
        <f t="shared" ref="E17:E23" si="4">D17/C17</f>
        <v>0.77726729072784928</v>
      </c>
      <c r="F17" s="219">
        <f>SUM(F18:F23)</f>
        <v>4341388.13</v>
      </c>
      <c r="G17" s="219">
        <f>SUM(G18:G23)</f>
        <v>3037608.63</v>
      </c>
      <c r="H17" s="206">
        <f>G17/F17</f>
        <v>0.69968603106675009</v>
      </c>
      <c r="I17" s="219">
        <f t="shared" si="1"/>
        <v>151353042.13</v>
      </c>
      <c r="J17" s="219">
        <f t="shared" si="2"/>
        <v>117304958.63999999</v>
      </c>
      <c r="K17" s="206">
        <f t="shared" ref="K17:K25" si="5">J17/I17</f>
        <v>0.77504196142449877</v>
      </c>
    </row>
    <row r="18" spans="1:11" x14ac:dyDescent="0.25">
      <c r="A18" s="112" t="s">
        <v>3780</v>
      </c>
      <c r="B18" s="113" t="s">
        <v>3781</v>
      </c>
      <c r="C18" s="220">
        <f>SUMIF('ПО КОРИСНИЦИМА'!$F$17:$F$1823,'По основ. нам.'!A18,'ПО КОРИСНИЦИМА'!$H$17:$H$1823)</f>
        <v>39394455</v>
      </c>
      <c r="D18" s="196">
        <f>SUMIF('ПО КОРИСНИЦИМА'!$F$17:$F$1823,'По основ. нам.'!A18,'ПО КОРИСНИЦИМА'!$I$17:$I$1823)</f>
        <v>28320026.239999998</v>
      </c>
      <c r="E18" s="212">
        <f t="shared" si="4"/>
        <v>0.71888356470472803</v>
      </c>
      <c r="F18" s="220">
        <f>SUMIF('ПО КОРИСНИЦИМА'!$F$17:$F$1823,'По основ. нам.'!A18,'ПО КОРИСНИЦИМА'!$L$17:$L$1823)</f>
        <v>88000.4</v>
      </c>
      <c r="G18" s="220">
        <f>SUMIF('ПО КОРИСНИЦИМА'!$F$17:$F$1823,'По основ. нам.'!A18,'ПО КОРИСНИЦИМА'!$M$17:$M$1823)</f>
        <v>1351312.7799999998</v>
      </c>
      <c r="H18" s="207">
        <f>G18/F18</f>
        <v>15.355757246557969</v>
      </c>
      <c r="I18" s="220">
        <f t="shared" si="1"/>
        <v>39482455.399999999</v>
      </c>
      <c r="J18" s="220">
        <f t="shared" si="2"/>
        <v>29671339.02</v>
      </c>
      <c r="K18" s="207">
        <f t="shared" si="5"/>
        <v>0.75150693439395366</v>
      </c>
    </row>
    <row r="19" spans="1:11" x14ac:dyDescent="0.25">
      <c r="A19" s="112">
        <v>422</v>
      </c>
      <c r="B19" s="113" t="s">
        <v>3782</v>
      </c>
      <c r="C19" s="220">
        <f>SUMIF('ПО КОРИСНИЦИМА'!$F$17:$F$1823,'По основ. нам.'!A19,'ПО КОРИСНИЦИМА'!$H$17:$H$1823)</f>
        <v>582436</v>
      </c>
      <c r="D19" s="196">
        <f>SUMIF('ПО КОРИСНИЦИМА'!$F$17:$F$1823,'По основ. нам.'!A19,'ПО КОРИСНИЦИМА'!$I$17:$I$1823)</f>
        <v>166256.71000000002</v>
      </c>
      <c r="E19" s="212">
        <f t="shared" si="4"/>
        <v>0.28545060744871542</v>
      </c>
      <c r="F19" s="220">
        <f>SUMIF('ПО КОРИСНИЦИМА'!$F$17:$F$1823,'По основ. нам.'!A19,'ПО КОРИСНИЦИМА'!$L$17:$L$1823)</f>
        <v>350000</v>
      </c>
      <c r="G19" s="220">
        <f>SUMIF('ПО КОРИСНИЦИМА'!$F$17:$F$1823,'По основ. нам.'!A19,'ПО КОРИСНИЦИМА'!$M$17:$M$1823)</f>
        <v>369533</v>
      </c>
      <c r="H19" s="207">
        <f>G19/F19</f>
        <v>1.0558085714285714</v>
      </c>
      <c r="I19" s="220">
        <f t="shared" si="1"/>
        <v>932436</v>
      </c>
      <c r="J19" s="220">
        <f t="shared" si="2"/>
        <v>535789.71</v>
      </c>
      <c r="K19" s="207">
        <f t="shared" si="5"/>
        <v>0.5746128527856067</v>
      </c>
    </row>
    <row r="20" spans="1:11" x14ac:dyDescent="0.25">
      <c r="A20" s="112">
        <v>423</v>
      </c>
      <c r="B20" s="113" t="s">
        <v>3783</v>
      </c>
      <c r="C20" s="220">
        <f>SUMIF('ПО КОРИСНИЦИМА'!$F$17:$F$1823,'По основ. нам.'!A20,'ПО КОРИСНИЦИМА'!$H$17:$H$1823)</f>
        <v>34170525</v>
      </c>
      <c r="D20" s="196">
        <f>SUMIF('ПО КОРИСНИЦИМА'!$F$17:$F$1823,'По основ. нам.'!A20,'ПО КОРИСНИЦИМА'!$I$17:$I$1823)</f>
        <v>33336867.439999994</v>
      </c>
      <c r="E20" s="212">
        <f t="shared" si="4"/>
        <v>0.97560302160999846</v>
      </c>
      <c r="F20" s="220">
        <f>SUMIF('ПО КОРИСНИЦИМА'!$F$17:$F$1823,'По основ. нам.'!A20,'ПО КОРИСНИЦИМА'!$L$17:$L$1823)</f>
        <v>2887788.73</v>
      </c>
      <c r="G20" s="220">
        <f>SUMIF('ПО КОРИСНИЦИМА'!$F$17:$F$1823,'По основ. нам.'!A20,'ПО КОРИСНИЦИМА'!$M$17:$M$1823)</f>
        <v>987112.05</v>
      </c>
      <c r="H20" s="207">
        <f>G20/F20</f>
        <v>0.34182280709988089</v>
      </c>
      <c r="I20" s="220">
        <f t="shared" si="1"/>
        <v>37058313.729999997</v>
      </c>
      <c r="J20" s="220">
        <f t="shared" si="2"/>
        <v>34323979.489999995</v>
      </c>
      <c r="K20" s="207">
        <f t="shared" si="5"/>
        <v>0.92621536263301529</v>
      </c>
    </row>
    <row r="21" spans="1:11" x14ac:dyDescent="0.25">
      <c r="A21" s="112" t="s">
        <v>3784</v>
      </c>
      <c r="B21" s="113" t="s">
        <v>3785</v>
      </c>
      <c r="C21" s="220">
        <f>SUMIF('ПО КОРИСНИЦИМА'!$F$17:$F$1823,'По основ. нам.'!A21,'ПО КОРИСНИЦИМА'!$H$17:$H$1823)</f>
        <v>3818197</v>
      </c>
      <c r="D21" s="196">
        <f>SUMIF('ПО КОРИСНИЦИМА'!$F$17:$F$1823,'По основ. нам.'!A21,'ПО КОРИСНИЦИМА'!$I$17:$I$1823)</f>
        <v>3604806.39</v>
      </c>
      <c r="E21" s="212">
        <f t="shared" si="4"/>
        <v>0.94411220531575513</v>
      </c>
      <c r="F21" s="220">
        <f>SUMIF('ПО КОРИСНИЦИМА'!$F$17:$F$1823,'По основ. нам.'!A21,'ПО КОРИСНИЦИМА'!$L$17:$L$1823)</f>
        <v>0</v>
      </c>
      <c r="G21" s="220">
        <f>SUMIF('ПО КОРИСНИЦИМА'!$F$17:$F$1823,'По основ. нам.'!A21,'ПО КОРИСНИЦИМА'!$M$17:$M$1823)</f>
        <v>0</v>
      </c>
      <c r="H21" s="207"/>
      <c r="I21" s="220">
        <f t="shared" si="1"/>
        <v>3818197</v>
      </c>
      <c r="J21" s="220">
        <f t="shared" si="2"/>
        <v>3604806.39</v>
      </c>
      <c r="K21" s="207">
        <f t="shared" si="5"/>
        <v>0.94411220531575513</v>
      </c>
    </row>
    <row r="22" spans="1:11" x14ac:dyDescent="0.25">
      <c r="A22" s="112" t="s">
        <v>3786</v>
      </c>
      <c r="B22" s="113" t="s">
        <v>3787</v>
      </c>
      <c r="C22" s="220">
        <f>SUMIF('ПО КОРИСНИЦИМА'!$F$17:$F$1823,'По основ. нам.'!A22,'ПО КОРИСНИЦИМА'!$H$17:$H$1823)</f>
        <v>53906676</v>
      </c>
      <c r="D22" s="196">
        <f>SUMIF('ПО КОРИСНИЦИМА'!$F$17:$F$1823,'По основ. нам.'!A22,'ПО КОРИСНИЦИМА'!$I$17:$I$1823)</f>
        <v>36870082.960000001</v>
      </c>
      <c r="E22" s="212">
        <f t="shared" si="4"/>
        <v>0.68396135128049818</v>
      </c>
      <c r="F22" s="220">
        <f>SUMIF('ПО КОРИСНИЦИМА'!$F$17:$F$1823,'По основ. нам.'!A22,'ПО КОРИСНИЦИМА'!$L$17:$L$1823)</f>
        <v>0</v>
      </c>
      <c r="G22" s="220">
        <f>SUMIF('ПО КОРИСНИЦИМА'!$F$17:$F$1823,'По основ. нам.'!A22,'ПО КОРИСНИЦИМА'!$M$17:$M$1823)</f>
        <v>0</v>
      </c>
      <c r="H22" s="207" t="e">
        <f>G22/F22</f>
        <v>#DIV/0!</v>
      </c>
      <c r="I22" s="220">
        <f t="shared" si="1"/>
        <v>53906676</v>
      </c>
      <c r="J22" s="220">
        <f t="shared" si="2"/>
        <v>36870082.960000001</v>
      </c>
      <c r="K22" s="207">
        <f t="shared" si="5"/>
        <v>0.68396135128049818</v>
      </c>
    </row>
    <row r="23" spans="1:11" x14ac:dyDescent="0.25">
      <c r="A23" s="112" t="s">
        <v>3788</v>
      </c>
      <c r="B23" s="113" t="s">
        <v>3789</v>
      </c>
      <c r="C23" s="220">
        <f>SUMIF('ПО КОРИСНИЦИМА'!$F$17:$F$1823,'По основ. нам.'!A23,'ПО КОРИСНИЦИМА'!$H$17:$H$1823)</f>
        <v>15139365</v>
      </c>
      <c r="D23" s="196">
        <f>SUMIF('ПО КОРИСНИЦИМА'!$F$17:$F$1823,'По основ. нам.'!A23,'ПО КОРИСНИЦИМА'!$I$17:$I$1823)</f>
        <v>11969310.27</v>
      </c>
      <c r="E23" s="212">
        <f t="shared" si="4"/>
        <v>0.79060847466191608</v>
      </c>
      <c r="F23" s="220">
        <f>SUMIF('ПО КОРИСНИЦИМА'!$F$17:$F$1823,'По основ. нам.'!A23,'ПО КОРИСНИЦИМА'!$L$17:$L$1823)</f>
        <v>1015599</v>
      </c>
      <c r="G23" s="220">
        <f>SUMIF('ПО КОРИСНИЦИМА'!$F$17:$F$1823,'По основ. нам.'!A23,'ПО КОРИСНИЦИМА'!$M$17:$M$1823)</f>
        <v>329650.80000000005</v>
      </c>
      <c r="H23" s="207">
        <f>G23/F23</f>
        <v>0.32458755867227129</v>
      </c>
      <c r="I23" s="220">
        <f t="shared" si="1"/>
        <v>16154964</v>
      </c>
      <c r="J23" s="220">
        <f t="shared" si="2"/>
        <v>12298961.07</v>
      </c>
      <c r="K23" s="207">
        <f t="shared" si="5"/>
        <v>0.76131157395336813</v>
      </c>
    </row>
    <row r="24" spans="1:11" x14ac:dyDescent="0.25">
      <c r="A24" s="110" t="s">
        <v>3790</v>
      </c>
      <c r="B24" s="111" t="s">
        <v>3791</v>
      </c>
      <c r="C24" s="219">
        <f>SUM(C25:C29)</f>
        <v>0</v>
      </c>
      <c r="D24" s="195">
        <f>SUM(D25:D29)</f>
        <v>0</v>
      </c>
      <c r="E24" s="211"/>
      <c r="F24" s="219">
        <f>SUM(F25:F29)</f>
        <v>0</v>
      </c>
      <c r="G24" s="219">
        <f>SUM(G25:G29)</f>
        <v>0</v>
      </c>
      <c r="H24" s="206" t="e">
        <f>G24/F24</f>
        <v>#DIV/0!</v>
      </c>
      <c r="I24" s="219">
        <f t="shared" si="1"/>
        <v>0</v>
      </c>
      <c r="J24" s="219">
        <f t="shared" si="2"/>
        <v>0</v>
      </c>
      <c r="K24" s="206" t="e">
        <f t="shared" si="5"/>
        <v>#DIV/0!</v>
      </c>
    </row>
    <row r="25" spans="1:11" x14ac:dyDescent="0.25">
      <c r="A25" s="112">
        <v>431</v>
      </c>
      <c r="B25" s="113" t="s">
        <v>3792</v>
      </c>
      <c r="C25" s="220">
        <f>SUMIF('ПО КОРИСНИЦИМА'!$F$17:$F$1823,'По основ. нам.'!A25,'ПО КОРИСНИЦИМА'!$H$17:$H$1823)</f>
        <v>0</v>
      </c>
      <c r="D25" s="196">
        <f>SUMIF('ПО КОРИСНИЦИМА'!$F$17:$F$1823,'По основ. нам.'!A25,'ПО КОРИСНИЦИМА'!$I$17:$I$1823)</f>
        <v>0</v>
      </c>
      <c r="E25" s="212"/>
      <c r="F25" s="220">
        <f>SUMIF('ПО КОРИСНИЦИМА'!$F$17:$F$1823,'По основ. нам.'!A25,'ПО КОРИСНИЦИМА'!$L$17:$L$1823)</f>
        <v>0</v>
      </c>
      <c r="G25" s="220">
        <f>SUMIF('ПО КОРИСНИЦИМА'!$F$17:$F$1823,'По основ. нам.'!A25,'ПО КОРИСНИЦИМА'!$M$17:$M$1823)</f>
        <v>0</v>
      </c>
      <c r="H25" s="207" t="e">
        <f>G25/F25</f>
        <v>#DIV/0!</v>
      </c>
      <c r="I25" s="220">
        <f t="shared" si="1"/>
        <v>0</v>
      </c>
      <c r="J25" s="220">
        <f t="shared" si="2"/>
        <v>0</v>
      </c>
      <c r="K25" s="207" t="e">
        <f t="shared" si="5"/>
        <v>#DIV/0!</v>
      </c>
    </row>
    <row r="26" spans="1:11" x14ac:dyDescent="0.25">
      <c r="A26" s="112">
        <v>432</v>
      </c>
      <c r="B26" s="113" t="s">
        <v>3793</v>
      </c>
      <c r="C26" s="220">
        <f>SUMIF('ПО КОРИСНИЦИМА'!$F$17:$F$1823,'По основ. нам.'!A26,'ПО КОРИСНИЦИМА'!$H$17:$H$1823)</f>
        <v>0</v>
      </c>
      <c r="D26" s="196">
        <f>SUMIF('ПО КОРИСНИЦИМА'!$F$17:$F$1823,'По основ. нам.'!A26,'ПО КОРИСНИЦИМА'!$I$17:$I$1823)</f>
        <v>0</v>
      </c>
      <c r="E26" s="212"/>
      <c r="F26" s="220">
        <f>SUMIF('ПО КОРИСНИЦИМА'!$F$17:$F$1823,'По основ. нам.'!A26,'ПО КОРИСНИЦИМА'!$L$17:$L$1823)</f>
        <v>0</v>
      </c>
      <c r="G26" s="220">
        <f>SUMIF('ПО КОРИСНИЦИМА'!$F$17:$F$1823,'По основ. нам.'!A26,'ПО КОРИСНИЦИМА'!$M$17:$M$1823)</f>
        <v>0</v>
      </c>
      <c r="H26" s="207"/>
      <c r="I26" s="241">
        <f t="shared" si="1"/>
        <v>0</v>
      </c>
      <c r="J26" s="241">
        <f t="shared" si="2"/>
        <v>0</v>
      </c>
      <c r="K26" s="208"/>
    </row>
    <row r="27" spans="1:11" x14ac:dyDescent="0.25">
      <c r="A27" s="112">
        <v>433</v>
      </c>
      <c r="B27" s="113" t="s">
        <v>3794</v>
      </c>
      <c r="C27" s="220">
        <f>SUMIF('ПО КОРИСНИЦИМА'!$F$17:$F$1823,'По основ. нам.'!A27,'ПО КОРИСНИЦИМА'!$H$17:$H$1823)</f>
        <v>0</v>
      </c>
      <c r="D27" s="196">
        <f>SUMIF('ПО КОРИСНИЦИМА'!$F$17:$F$1823,'По основ. нам.'!A27,'ПО КОРИСНИЦИМА'!$I$17:$I$1823)</f>
        <v>0</v>
      </c>
      <c r="E27" s="212"/>
      <c r="F27" s="220">
        <f>SUMIF('ПО КОРИСНИЦИМА'!$F$17:$F$1823,'По основ. нам.'!A27,'ПО КОРИСНИЦИМА'!$L$17:$L$1823)</f>
        <v>0</v>
      </c>
      <c r="G27" s="220">
        <f>SUMIF('ПО КОРИСНИЦИМА'!$F$17:$F$1823,'По основ. нам.'!A27,'ПО КОРИСНИЦИМА'!$M$17:$M$1823)</f>
        <v>0</v>
      </c>
      <c r="H27" s="207"/>
      <c r="I27" s="241">
        <f t="shared" si="1"/>
        <v>0</v>
      </c>
      <c r="J27" s="241">
        <f t="shared" si="2"/>
        <v>0</v>
      </c>
      <c r="K27" s="208"/>
    </row>
    <row r="28" spans="1:11" x14ac:dyDescent="0.25">
      <c r="A28" s="112">
        <v>434</v>
      </c>
      <c r="B28" s="113" t="s">
        <v>3795</v>
      </c>
      <c r="C28" s="220">
        <f>SUMIF('ПО КОРИСНИЦИМА'!$F$17:$F$1823,'По основ. нам.'!A28,'ПО КОРИСНИЦИМА'!$H$17:$H$1823)</f>
        <v>0</v>
      </c>
      <c r="D28" s="196">
        <f>SUMIF('ПО КОРИСНИЦИМА'!$F$17:$F$1823,'По основ. нам.'!A28,'ПО КОРИСНИЦИМА'!$I$17:$I$1823)</f>
        <v>0</v>
      </c>
      <c r="E28" s="212"/>
      <c r="F28" s="220">
        <f>SUMIF('ПО КОРИСНИЦИМА'!$F$17:$F$1823,'По основ. нам.'!A28,'ПО КОРИСНИЦИМА'!$L$17:$L$1823)</f>
        <v>0</v>
      </c>
      <c r="G28" s="220">
        <f>SUMIF('ПО КОРИСНИЦИМА'!$F$17:$F$1823,'По основ. нам.'!A28,'ПО КОРИСНИЦИМА'!$M$17:$M$1823)</f>
        <v>0</v>
      </c>
      <c r="H28" s="207"/>
      <c r="I28" s="241">
        <f t="shared" si="1"/>
        <v>0</v>
      </c>
      <c r="J28" s="241">
        <f t="shared" si="2"/>
        <v>0</v>
      </c>
      <c r="K28" s="207"/>
    </row>
    <row r="29" spans="1:11" x14ac:dyDescent="0.25">
      <c r="A29" s="112">
        <v>435</v>
      </c>
      <c r="B29" s="113" t="s">
        <v>3796</v>
      </c>
      <c r="C29" s="220">
        <f>SUMIF('ПО КОРИСНИЦИМА'!$F$17:$F$1823,'По основ. нам.'!A29,'ПО КОРИСНИЦИМА'!$H$17:$H$1823)</f>
        <v>0</v>
      </c>
      <c r="D29" s="196">
        <f>SUMIF('ПО КОРИСНИЦИМА'!$F$17:$F$1823,'По основ. нам.'!A29,'ПО КОРИСНИЦИМА'!$I$17:$I$1823)</f>
        <v>0</v>
      </c>
      <c r="E29" s="212"/>
      <c r="F29" s="220">
        <f>SUMIF('ПО КОРИСНИЦИМА'!$F$17:$F$1823,'По основ. нам.'!A29,'ПО КОРИСНИЦИМА'!$L$17:$L$1823)</f>
        <v>0</v>
      </c>
      <c r="G29" s="220">
        <f>SUMIF('ПО КОРИСНИЦИМА'!$F$17:$F$1823,'По основ. нам.'!A29,'ПО КОРИСНИЦИМА'!$M$17:$M$1823)</f>
        <v>0</v>
      </c>
      <c r="H29" s="207"/>
      <c r="I29" s="241">
        <f t="shared" si="1"/>
        <v>0</v>
      </c>
      <c r="J29" s="241">
        <f t="shared" si="2"/>
        <v>0</v>
      </c>
      <c r="K29" s="208"/>
    </row>
    <row r="30" spans="1:11" x14ac:dyDescent="0.25">
      <c r="A30" s="110" t="s">
        <v>3797</v>
      </c>
      <c r="B30" s="111" t="s">
        <v>3798</v>
      </c>
      <c r="C30" s="219">
        <f>SUM(C31:C34)</f>
        <v>1055000</v>
      </c>
      <c r="D30" s="195">
        <f>SUM(D31:D34)</f>
        <v>865294.97000000009</v>
      </c>
      <c r="E30" s="211">
        <f>D30/C30</f>
        <v>0.82018480568720387</v>
      </c>
      <c r="F30" s="219">
        <f>SUM(F31:F34)</f>
        <v>0</v>
      </c>
      <c r="G30" s="219">
        <f>SUM(G31:G34)</f>
        <v>0</v>
      </c>
      <c r="H30" s="206"/>
      <c r="I30" s="219">
        <f t="shared" si="1"/>
        <v>1055000</v>
      </c>
      <c r="J30" s="219">
        <f t="shared" si="2"/>
        <v>865294.97000000009</v>
      </c>
      <c r="K30" s="206">
        <f>J30/I30</f>
        <v>0.82018480568720387</v>
      </c>
    </row>
    <row r="31" spans="1:11" x14ac:dyDescent="0.25">
      <c r="A31" s="112">
        <v>441</v>
      </c>
      <c r="B31" s="113" t="s">
        <v>3799</v>
      </c>
      <c r="C31" s="220">
        <f>SUMIF('ПО КОРИСНИЦИМА'!$F$17:$F$1823,'По основ. нам.'!A31,'ПО КОРИСНИЦИМА'!$H$17:$H$1823)</f>
        <v>735000</v>
      </c>
      <c r="D31" s="196">
        <f>SUMIF('ПО КОРИСНИЦИМА'!$F$17:$F$1823,'По основ. нам.'!A31,'ПО КОРИСНИЦИМА'!$I$17:$I$1823)</f>
        <v>176614.5</v>
      </c>
      <c r="E31" s="212">
        <f>D31/C31</f>
        <v>0.24029183673469387</v>
      </c>
      <c r="F31" s="220">
        <f>SUMIF('ПО КОРИСНИЦИМА'!$F$17:$F$1823,'По основ. нам.'!A31,'ПО КОРИСНИЦИМА'!$L$17:$L$1823)</f>
        <v>0</v>
      </c>
      <c r="G31" s="220">
        <f>SUMIF('ПО КОРИСНИЦИМА'!$F$17:$F$1823,'По основ. нам.'!A31,'ПО КОРИСНИЦИМА'!$M$17:$M$1823)</f>
        <v>0</v>
      </c>
      <c r="H31" s="207"/>
      <c r="I31" s="220">
        <f t="shared" si="1"/>
        <v>735000</v>
      </c>
      <c r="J31" s="220">
        <f t="shared" si="2"/>
        <v>176614.5</v>
      </c>
      <c r="K31" s="207">
        <f>J31/I31</f>
        <v>0.24029183673469387</v>
      </c>
    </row>
    <row r="32" spans="1:11" x14ac:dyDescent="0.25">
      <c r="A32" s="112">
        <v>442</v>
      </c>
      <c r="B32" s="113" t="s">
        <v>3800</v>
      </c>
      <c r="C32" s="220">
        <f>SUMIF('ПО КОРИСНИЦИМА'!$F$17:$F$1823,'По основ. нам.'!A32,'ПО КОРИСНИЦИМА'!$H$17:$H$1823)</f>
        <v>0</v>
      </c>
      <c r="D32" s="196">
        <f>SUMIF('ПО КОРИСНИЦИМА'!$F$17:$F$1823,'По основ. нам.'!A32,'ПО КОРИСНИЦИМА'!$I$17:$I$1823)</f>
        <v>0</v>
      </c>
      <c r="E32" s="212"/>
      <c r="F32" s="220">
        <f>SUMIF('ПО КОРИСНИЦИМА'!$F$17:$F$1823,'По основ. нам.'!A32,'ПО КОРИСНИЦИМА'!$L$17:$L$1823)</f>
        <v>0</v>
      </c>
      <c r="G32" s="220">
        <f>SUMIF('ПО КОРИСНИЦИМА'!$F$17:$F$1823,'По основ. нам.'!A32,'ПО КОРИСНИЦИМА'!$M$17:$M$1823)</f>
        <v>0</v>
      </c>
      <c r="H32" s="207"/>
      <c r="I32" s="241">
        <f t="shared" si="1"/>
        <v>0</v>
      </c>
      <c r="J32" s="241">
        <f t="shared" si="2"/>
        <v>0</v>
      </c>
      <c r="K32" s="208"/>
    </row>
    <row r="33" spans="1:11" x14ac:dyDescent="0.25">
      <c r="A33" s="112">
        <v>443</v>
      </c>
      <c r="B33" s="113" t="s">
        <v>3801</v>
      </c>
      <c r="C33" s="220">
        <f>SUMIF('ПО КОРИСНИЦИМА'!$F$17:$F$1823,'По основ. нам.'!A33,'ПО КОРИСНИЦИМА'!$H$17:$H$1823)</f>
        <v>0</v>
      </c>
      <c r="D33" s="196">
        <f>SUMIF('ПО КОРИСНИЦИМА'!$F$17:$F$1823,'По основ. нам.'!A33,'ПО КОРИСНИЦИМА'!$I$17:$I$1823)</f>
        <v>0</v>
      </c>
      <c r="E33" s="212"/>
      <c r="F33" s="220">
        <f>SUMIF('ПО КОРИСНИЦИМА'!$F$17:$F$1823,'По основ. нам.'!A33,'ПО КОРИСНИЦИМА'!$L$17:$L$1823)</f>
        <v>0</v>
      </c>
      <c r="G33" s="220">
        <f>SUMIF('ПО КОРИСНИЦИМА'!$F$17:$F$1823,'По основ. нам.'!A33,'ПО КОРИСНИЦИМА'!$M$17:$M$1823)</f>
        <v>0</v>
      </c>
      <c r="H33" s="207"/>
      <c r="I33" s="241">
        <f t="shared" si="1"/>
        <v>0</v>
      </c>
      <c r="J33" s="241">
        <f t="shared" si="2"/>
        <v>0</v>
      </c>
      <c r="K33" s="208"/>
    </row>
    <row r="34" spans="1:11" x14ac:dyDescent="0.25">
      <c r="A34" s="115">
        <v>444</v>
      </c>
      <c r="B34" s="116" t="s">
        <v>3802</v>
      </c>
      <c r="C34" s="220">
        <f>SUMIF('ПО КОРИСНИЦИМА'!$F$17:$F$1823,'По основ. нам.'!A34,'ПО КОРИСНИЦИМА'!$H$17:$H$1823)</f>
        <v>320000</v>
      </c>
      <c r="D34" s="196">
        <f>SUMIF('ПО КОРИСНИЦИМА'!$F$17:$F$1823,'По основ. нам.'!A34,'ПО КОРИСНИЦИМА'!$I$17:$I$1823)</f>
        <v>688680.47000000009</v>
      </c>
      <c r="E34" s="212">
        <f>D34/C34</f>
        <v>2.1521264687500001</v>
      </c>
      <c r="F34" s="220">
        <f>SUMIF('ПО КОРИСНИЦИМА'!$F$17:$F$1823,'По основ. нам.'!A34,'ПО КОРИСНИЦИМА'!$L$17:$L$1823)</f>
        <v>0</v>
      </c>
      <c r="G34" s="220">
        <f>SUMIF('ПО КОРИСНИЦИМА'!$F$17:$F$1823,'По основ. нам.'!A34,'ПО КОРИСНИЦИМА'!$M$17:$M$1823)</f>
        <v>0</v>
      </c>
      <c r="H34" s="207"/>
      <c r="I34" s="241">
        <f t="shared" si="1"/>
        <v>320000</v>
      </c>
      <c r="J34" s="241">
        <f t="shared" si="2"/>
        <v>688680.47000000009</v>
      </c>
      <c r="K34" s="208">
        <f>J34/I34</f>
        <v>2.1521264687500001</v>
      </c>
    </row>
    <row r="35" spans="1:11" x14ac:dyDescent="0.25">
      <c r="A35" s="110" t="s">
        <v>3803</v>
      </c>
      <c r="B35" s="111" t="s">
        <v>3804</v>
      </c>
      <c r="C35" s="219">
        <f>SUM(C36:C40)</f>
        <v>22298996</v>
      </c>
      <c r="D35" s="195">
        <f>SUM(D36:D40)</f>
        <v>14917516.640000001</v>
      </c>
      <c r="E35" s="211">
        <f>D35/C35</f>
        <v>0.66897705349604086</v>
      </c>
      <c r="F35" s="219">
        <f>SUM(F36:F40)</f>
        <v>0</v>
      </c>
      <c r="G35" s="219">
        <f>SUM(G36:G40)</f>
        <v>0</v>
      </c>
      <c r="H35" s="206"/>
      <c r="I35" s="219">
        <f t="shared" si="1"/>
        <v>22298996</v>
      </c>
      <c r="J35" s="219">
        <f t="shared" si="2"/>
        <v>14917516.640000001</v>
      </c>
      <c r="K35" s="206">
        <f>J35/I35</f>
        <v>0.66897705349604086</v>
      </c>
    </row>
    <row r="36" spans="1:11" s="204" customFormat="1" x14ac:dyDescent="0.25">
      <c r="A36" s="507" t="s">
        <v>3937</v>
      </c>
      <c r="B36" s="508" t="s">
        <v>1691</v>
      </c>
      <c r="C36" s="509">
        <f>SUMIF('ПО КОРИСНИЦИМА'!$F$17:$F$1823,'По основ. нам.'!A36,'ПО КОРИСНИЦИМА'!$H$17:$H$1823)</f>
        <v>22298996</v>
      </c>
      <c r="D36" s="510">
        <f>SUMIF('ПО КОРИСНИЦИМА'!$F$17:$F$1823,'По основ. нам.'!A36,'ПО КОРИСНИЦИМА'!$I$17:$I$1823)</f>
        <v>14917516.640000001</v>
      </c>
      <c r="E36" s="511">
        <f>D36/C36</f>
        <v>0.66897705349604086</v>
      </c>
      <c r="F36" s="509">
        <f>SUMIF('ПО КОРИСНИЦИМА'!$F$17:$F$1823,'По основ. нам.'!A36,'ПО КОРИСНИЦИМА'!$L$17:$L$1823)</f>
        <v>0</v>
      </c>
      <c r="G36" s="509">
        <f>SUMIF('ПО КОРИСНИЦИМА'!$F$17:$F$1823,'По основ. нам.'!A36,'ПО КОРИСНИЦИМА'!$M$17:$M$1823)</f>
        <v>0</v>
      </c>
      <c r="H36" s="512"/>
      <c r="I36" s="513">
        <f t="shared" si="1"/>
        <v>22298996</v>
      </c>
      <c r="J36" s="513">
        <f t="shared" si="2"/>
        <v>14917516.640000001</v>
      </c>
      <c r="K36" s="512">
        <f>J36/I36</f>
        <v>0.66897705349604086</v>
      </c>
    </row>
    <row r="37" spans="1:11" s="204" customFormat="1" x14ac:dyDescent="0.25">
      <c r="A37" s="507" t="s">
        <v>3858</v>
      </c>
      <c r="B37" s="508" t="s">
        <v>1700</v>
      </c>
      <c r="C37" s="509">
        <f>SUMIF('ПО КОРИСНИЦИМА'!$F$17:$F$1823,'По основ. нам.'!A37,'ПО КОРИСНИЦИМА'!$H$17:$H$1823)</f>
        <v>0</v>
      </c>
      <c r="D37" s="510">
        <f>SUMIF('ПО КОРИСНИЦИМА'!$F$17:$F$1823,'По основ. нам.'!A37,'ПО КОРИСНИЦИМА'!$I$17:$I$1823)</f>
        <v>0</v>
      </c>
      <c r="E37" s="511"/>
      <c r="F37" s="509">
        <f>SUMIF('ПО КОРИСНИЦИМА'!$F$17:$F$1823,'По основ. нам.'!A37,'ПО КОРИСНИЦИМА'!$L$17:$L$1823)</f>
        <v>0</v>
      </c>
      <c r="G37" s="509">
        <f>SUMIF('ПО КОРИСНИЦИМА'!$F$17:$F$1823,'По основ. нам.'!A37,'ПО КОРИСНИЦИМА'!$M$17:$M$1823)</f>
        <v>0</v>
      </c>
      <c r="H37" s="512"/>
      <c r="I37" s="513">
        <f t="shared" si="1"/>
        <v>0</v>
      </c>
      <c r="J37" s="513">
        <f t="shared" si="2"/>
        <v>0</v>
      </c>
      <c r="K37" s="514"/>
    </row>
    <row r="38" spans="1:11" x14ac:dyDescent="0.25">
      <c r="A38" s="112" t="s">
        <v>3859</v>
      </c>
      <c r="B38" s="113" t="s">
        <v>3805</v>
      </c>
      <c r="C38" s="220">
        <f>SUMIF('ПО КОРИСНИЦИМА'!$F$17:$F$1823,'По основ. нам.'!A38,'ПО КОРИСНИЦИМА'!$H$17:$H$1823)</f>
        <v>0</v>
      </c>
      <c r="D38" s="196">
        <f>SUMIF('ПО КОРИСНИЦИМА'!$F$17:$F$1823,'По основ. нам.'!A38,'ПО КОРИСНИЦИМА'!$I$17:$I$1823)</f>
        <v>0</v>
      </c>
      <c r="E38" s="212"/>
      <c r="F38" s="220">
        <f>SUMIF('ПО КОРИСНИЦИМА'!$F$17:$F$1823,'По основ. нам.'!A38,'ПО КОРИСНИЦИМА'!$L$17:$L$1823)</f>
        <v>0</v>
      </c>
      <c r="G38" s="220">
        <f>SUMIF('ПО КОРИСНИЦИМА'!$F$17:$F$1823,'По основ. нам.'!A38,'ПО КОРИСНИЦИМА'!$M$17:$M$1823)</f>
        <v>0</v>
      </c>
      <c r="H38" s="207"/>
      <c r="I38" s="241"/>
      <c r="J38" s="241">
        <f t="shared" si="2"/>
        <v>0</v>
      </c>
      <c r="K38" s="208"/>
    </row>
    <row r="39" spans="1:11" x14ac:dyDescent="0.25">
      <c r="A39" s="112">
        <v>453</v>
      </c>
      <c r="B39" s="113" t="s">
        <v>3806</v>
      </c>
      <c r="C39" s="220">
        <f>SUMIF('ПО КОРИСНИЦИМА'!$F$17:$F$1823,'По основ. нам.'!A39,'ПО КОРИСНИЦИМА'!$H$17:$H$1823)</f>
        <v>0</v>
      </c>
      <c r="D39" s="196">
        <f>SUMIF('ПО КОРИСНИЦИМА'!$F$17:$F$1823,'По основ. нам.'!A39,'ПО КОРИСНИЦИМА'!$I$17:$I$1823)</f>
        <v>0</v>
      </c>
      <c r="E39" s="212"/>
      <c r="F39" s="220">
        <f>SUMIF('ПО КОРИСНИЦИМА'!$F$17:$F$1823,'По основ. нам.'!A39,'ПО КОРИСНИЦИМА'!$L$17:$L$1823)</f>
        <v>0</v>
      </c>
      <c r="G39" s="220">
        <f>SUMIF('ПО КОРИСНИЦИМА'!$F$17:$F$1823,'По основ. нам.'!A39,'ПО КОРИСНИЦИМА'!$M$17:$M$1823)</f>
        <v>0</v>
      </c>
      <c r="H39" s="207"/>
      <c r="I39" s="241">
        <f t="shared" ref="I39:I63" si="6">C39+F39</f>
        <v>0</v>
      </c>
      <c r="J39" s="241">
        <f t="shared" si="2"/>
        <v>0</v>
      </c>
      <c r="K39" s="208"/>
    </row>
    <row r="40" spans="1:11" x14ac:dyDescent="0.25">
      <c r="A40" s="112">
        <v>454</v>
      </c>
      <c r="B40" s="113" t="s">
        <v>3807</v>
      </c>
      <c r="C40" s="220">
        <f>SUMIF('ПО КОРИСНИЦИМА'!$F$17:$F$1823,'По основ. нам.'!A40,'ПО КОРИСНИЦИМА'!$H$17:$H$1823)</f>
        <v>0</v>
      </c>
      <c r="D40" s="196">
        <f>SUMIF('ПО КОРИСНИЦИМА'!$F$17:$F$1823,'По основ. нам.'!A40,'ПО КОРИСНИЦИМА'!$I$17:$I$1823)</f>
        <v>0</v>
      </c>
      <c r="E40" s="212"/>
      <c r="F40" s="220">
        <f>SUMIF('ПО КОРИСНИЦИМА'!$F$17:$F$1823,'По основ. нам.'!A40,'ПО КОРИСНИЦИМА'!$L$17:$L$1823)</f>
        <v>0</v>
      </c>
      <c r="G40" s="220">
        <f>SUMIF('ПО КОРИСНИЦИМА'!$F$17:$F$1823,'По основ. нам.'!A40,'ПО КОРИСНИЦИМА'!$M$17:$M$1823)</f>
        <v>0</v>
      </c>
      <c r="H40" s="207"/>
      <c r="I40" s="241">
        <f t="shared" si="6"/>
        <v>0</v>
      </c>
      <c r="J40" s="241">
        <f t="shared" si="2"/>
        <v>0</v>
      </c>
      <c r="K40" s="208"/>
    </row>
    <row r="41" spans="1:11" x14ac:dyDescent="0.25">
      <c r="A41" s="110" t="s">
        <v>3808</v>
      </c>
      <c r="B41" s="111" t="s">
        <v>3712</v>
      </c>
      <c r="C41" s="219">
        <f>SUM(C42:C47)</f>
        <v>54351477</v>
      </c>
      <c r="D41" s="195">
        <f>SUM(D42:D47)</f>
        <v>43444679.5</v>
      </c>
      <c r="E41" s="211">
        <f>D41/C41</f>
        <v>0.79932840647550385</v>
      </c>
      <c r="F41" s="219">
        <f>SUM(F42:F47)</f>
        <v>0</v>
      </c>
      <c r="G41" s="219">
        <f>SUM(G42:G47)</f>
        <v>0</v>
      </c>
      <c r="H41" s="206"/>
      <c r="I41" s="219">
        <f t="shared" si="6"/>
        <v>54351477</v>
      </c>
      <c r="J41" s="219">
        <f t="shared" si="2"/>
        <v>43444679.5</v>
      </c>
      <c r="K41" s="206">
        <f>J41/I41</f>
        <v>0.79932840647550385</v>
      </c>
    </row>
    <row r="42" spans="1:11" x14ac:dyDescent="0.25">
      <c r="A42" s="118">
        <v>461</v>
      </c>
      <c r="B42" s="119" t="s">
        <v>3809</v>
      </c>
      <c r="C42" s="220">
        <f>SUMIF('ПО КОРИСНИЦИМА'!$F$17:$F$1823,'По основ. нам.'!A42,'ПО КОРИСНИЦИМА'!$H$17:$H$1823)</f>
        <v>0</v>
      </c>
      <c r="D42" s="196">
        <f>SUMIF('ПО КОРИСНИЦИМА'!$F$17:$F$1823,'По основ. нам.'!A42,'ПО КОРИСНИЦИМА'!$I$17:$I$1823)</f>
        <v>0</v>
      </c>
      <c r="E42" s="212"/>
      <c r="F42" s="220">
        <f>SUMIF('ПО КОРИСНИЦИМА'!$F$17:$F$1823,'По основ. нам.'!A42,'ПО КОРИСНИЦИМА'!$L$17:$L$1823)</f>
        <v>0</v>
      </c>
      <c r="G42" s="220">
        <f>SUMIF('ПО КОРИСНИЦИМА'!$F$17:$F$1823,'По основ. нам.'!A42,'ПО КОРИСНИЦИМА'!$M$17:$M$1823)</f>
        <v>0</v>
      </c>
      <c r="H42" s="207"/>
      <c r="I42" s="241">
        <f t="shared" si="6"/>
        <v>0</v>
      </c>
      <c r="J42" s="241">
        <f t="shared" si="2"/>
        <v>0</v>
      </c>
      <c r="K42" s="208"/>
    </row>
    <row r="43" spans="1:11" x14ac:dyDescent="0.25">
      <c r="A43" s="118">
        <v>462</v>
      </c>
      <c r="B43" s="119" t="s">
        <v>3810</v>
      </c>
      <c r="C43" s="220">
        <f>SUMIF('ПО КОРИСНИЦИМА'!$F$17:$F$1823,'По основ. нам.'!A43,'ПО КОРИСНИЦИМА'!$H$17:$H$1823)</f>
        <v>0</v>
      </c>
      <c r="D43" s="196">
        <f>SUMIF('ПО КОРИСНИЦИМА'!$F$17:$F$1823,'По основ. нам.'!A43,'ПО КОРИСНИЦИМА'!$I$17:$I$1823)</f>
        <v>0</v>
      </c>
      <c r="E43" s="212"/>
      <c r="F43" s="220">
        <f>SUMIF('ПО КОРИСНИЦИМА'!$F$17:$F$1823,'По основ. нам.'!A43,'ПО КОРИСНИЦИМА'!$L$17:$L$1823)</f>
        <v>0</v>
      </c>
      <c r="G43" s="220">
        <f>SUMIF('ПО КОРИСНИЦИМА'!$F$17:$F$1823,'По основ. нам.'!A43,'ПО КОРИСНИЦИМА'!$M$17:$M$1823)</f>
        <v>0</v>
      </c>
      <c r="H43" s="207"/>
      <c r="I43" s="241">
        <f t="shared" si="6"/>
        <v>0</v>
      </c>
      <c r="J43" s="241">
        <f t="shared" si="2"/>
        <v>0</v>
      </c>
      <c r="K43" s="208"/>
    </row>
    <row r="44" spans="1:11" x14ac:dyDescent="0.25">
      <c r="A44" s="118">
        <v>463</v>
      </c>
      <c r="B44" s="119" t="s">
        <v>3811</v>
      </c>
      <c r="C44" s="220">
        <f>SUMIF('ПО КОРИСНИЦИМА'!$F$17:$F$1823,'По основ. нам.'!A44,'ПО КОРИСНИЦИМА'!$H$17:$H$1823)</f>
        <v>35130768</v>
      </c>
      <c r="D44" s="196">
        <f>SUMIF('ПО КОРИСНИЦИМА'!$F$17:$F$1823,'По основ. нам.'!A44,'ПО КОРИСНИЦИМА'!$I$17:$I$1823)</f>
        <v>25375649.190000001</v>
      </c>
      <c r="E44" s="212">
        <f>D44/C44</f>
        <v>0.7223197964246042</v>
      </c>
      <c r="F44" s="220">
        <f>SUMIF('ПО КОРИСНИЦИМА'!$F$17:$F$1823,'По основ. нам.'!A44,'ПО КОРИСНИЦИМА'!$L$17:$L$1823)</f>
        <v>0</v>
      </c>
      <c r="G44" s="220">
        <f>SUMIF('ПО КОРИСНИЦИМА'!$F$17:$F$1823,'По основ. нам.'!A44,'ПО КОРИСНИЦИМА'!$M$17:$M$1823)</f>
        <v>0</v>
      </c>
      <c r="H44" s="207"/>
      <c r="I44" s="241">
        <f t="shared" si="6"/>
        <v>35130768</v>
      </c>
      <c r="J44" s="241">
        <f t="shared" si="2"/>
        <v>25375649.190000001</v>
      </c>
      <c r="K44" s="207">
        <f>J44/I44</f>
        <v>0.7223197964246042</v>
      </c>
    </row>
    <row r="45" spans="1:11" x14ac:dyDescent="0.25">
      <c r="A45" s="118">
        <v>4632</v>
      </c>
      <c r="B45" s="119" t="s">
        <v>3812</v>
      </c>
      <c r="C45" s="220">
        <f>SUMIF('ПО КОРИСНИЦИМА'!$F$17:$F$1823,'По основ. нам.'!A45,'ПО КОРИСНИЦИМА'!$H$17:$H$1823)</f>
        <v>0</v>
      </c>
      <c r="D45" s="196">
        <f>SUMIF('ПО КОРИСНИЦИМА'!$F$17:$F$1823,'По основ. нам.'!A45,'ПО КОРИСНИЦИМА'!$I$17:$I$1823)</f>
        <v>0</v>
      </c>
      <c r="E45" s="212"/>
      <c r="F45" s="220">
        <f>SUMIF('ПО КОРИСНИЦИМА'!$F$17:$F$1823,'По основ. нам.'!A45,'ПО КОРИСНИЦИМА'!$L$17:$L$1823)</f>
        <v>0</v>
      </c>
      <c r="G45" s="220">
        <f>SUMIF('ПО КОРИСНИЦИМА'!$F$17:$F$1823,'По основ. нам.'!A45,'ПО КОРИСНИЦИМА'!$M$17:$M$1823)</f>
        <v>0</v>
      </c>
      <c r="H45" s="207"/>
      <c r="I45" s="241">
        <f t="shared" si="6"/>
        <v>0</v>
      </c>
      <c r="J45" s="241">
        <f t="shared" si="2"/>
        <v>0</v>
      </c>
      <c r="K45" s="207"/>
    </row>
    <row r="46" spans="1:11" ht="22.5" x14ac:dyDescent="0.25">
      <c r="A46" s="118">
        <v>464</v>
      </c>
      <c r="B46" s="119" t="s">
        <v>3813</v>
      </c>
      <c r="C46" s="220">
        <f>SUMIF('ПО КОРИСНИЦИМА'!$F$17:$F$1823,'По основ. нам.'!A46,'ПО КОРИСНИЦИМА'!$H$17:$H$1823)</f>
        <v>11000000</v>
      </c>
      <c r="D46" s="196">
        <f>SUMIF('ПО КОРИСНИЦИМА'!$F$17:$F$1823,'По основ. нам.'!A46,'ПО КОРИСНИЦИМА'!$I$17:$I$1823)</f>
        <v>11883357.209999999</v>
      </c>
      <c r="E46" s="212">
        <f t="shared" ref="E46:E54" si="7">D46/C46</f>
        <v>1.0803052009090908</v>
      </c>
      <c r="F46" s="220">
        <f>SUMIF('ПО КОРИСНИЦИМА'!$F$17:$F$1823,'По основ. нам.'!A46,'ПО КОРИСНИЦИМА'!$L$17:$L$1823)</f>
        <v>0</v>
      </c>
      <c r="G46" s="220">
        <f>SUMIF('ПО КОРИСНИЦИМА'!$F$17:$F$1823,'По основ. нам.'!A46,'ПО КОРИСНИЦИМА'!$M$17:$M$1823)</f>
        <v>0</v>
      </c>
      <c r="H46" s="207"/>
      <c r="I46" s="241">
        <f t="shared" si="6"/>
        <v>11000000</v>
      </c>
      <c r="J46" s="241">
        <f t="shared" si="2"/>
        <v>11883357.209999999</v>
      </c>
      <c r="K46" s="518">
        <f t="shared" ref="K46:K54" si="8">J46/I46</f>
        <v>1.0803052009090908</v>
      </c>
    </row>
    <row r="47" spans="1:11" x14ac:dyDescent="0.25">
      <c r="A47" s="118">
        <v>465</v>
      </c>
      <c r="B47" s="119" t="s">
        <v>3814</v>
      </c>
      <c r="C47" s="220">
        <f>SUMIF('ПО КОРИСНИЦИМА'!$F$17:$F$1823,'По основ. нам.'!A47,'ПО КОРИСНИЦИМА'!$H$17:$H$1823)</f>
        <v>8220709</v>
      </c>
      <c r="D47" s="196">
        <f>SUMIF('ПО КОРИСНИЦИМА'!$F$17:$F$1823,'По основ. нам.'!A47,'ПО КОРИСНИЦИМА'!$I$17:$I$1823)</f>
        <v>6185673.0999999996</v>
      </c>
      <c r="E47" s="212">
        <f t="shared" si="7"/>
        <v>0.75245007456169533</v>
      </c>
      <c r="F47" s="220">
        <f>SUMIF('ПО КОРИСНИЦИМА'!$F$17:$F$1823,'По основ. нам.'!A47,'ПО КОРИСНИЦИМА'!$L$17:$L$1823)</f>
        <v>0</v>
      </c>
      <c r="G47" s="220">
        <f>SUMIF('ПО КОРИСНИЦИМА'!$F$17:$F$1823,'По основ. нам.'!A47,'ПО КОРИСНИЦИМА'!$M$17:$M$1823)</f>
        <v>0</v>
      </c>
      <c r="H47" s="207"/>
      <c r="I47" s="241">
        <f t="shared" si="6"/>
        <v>8220709</v>
      </c>
      <c r="J47" s="241">
        <f t="shared" si="2"/>
        <v>6185673.0999999996</v>
      </c>
      <c r="K47" s="518">
        <f t="shared" si="8"/>
        <v>0.75245007456169533</v>
      </c>
    </row>
    <row r="48" spans="1:11" x14ac:dyDescent="0.25">
      <c r="A48" s="110" t="s">
        <v>3815</v>
      </c>
      <c r="B48" s="111" t="s">
        <v>3816</v>
      </c>
      <c r="C48" s="219">
        <f>SUM(C49)</f>
        <v>25475000</v>
      </c>
      <c r="D48" s="195">
        <f>SUM(D49)</f>
        <v>19426429.390000001</v>
      </c>
      <c r="E48" s="211">
        <f t="shared" si="7"/>
        <v>0.76256837644749753</v>
      </c>
      <c r="F48" s="219">
        <f>SUM(F49)</f>
        <v>26400000</v>
      </c>
      <c r="G48" s="219">
        <f>SUM(G49)</f>
        <v>9791387.2100000009</v>
      </c>
      <c r="H48" s="206">
        <f>G48/F48</f>
        <v>0.37088587916666671</v>
      </c>
      <c r="I48" s="219">
        <f t="shared" si="6"/>
        <v>51875000</v>
      </c>
      <c r="J48" s="219">
        <f t="shared" si="2"/>
        <v>29217816.600000001</v>
      </c>
      <c r="K48" s="206">
        <f t="shared" si="8"/>
        <v>0.56323501879518079</v>
      </c>
    </row>
    <row r="49" spans="1:11" x14ac:dyDescent="0.25">
      <c r="A49" s="112">
        <v>472</v>
      </c>
      <c r="B49" s="113" t="s">
        <v>3817</v>
      </c>
      <c r="C49" s="220">
        <f>SUMIF('ПО КОРИСНИЦИМА'!$F$17:$F$1823,'По основ. нам.'!A49,'ПО КОРИСНИЦИМА'!$H$17:$H$1823)</f>
        <v>25475000</v>
      </c>
      <c r="D49" s="196">
        <f>SUMIF('ПО КОРИСНИЦИМА'!$F$17:$F$1823,'По основ. нам.'!A49,'ПО КОРИСНИЦИМА'!$I$17:$I$1823)</f>
        <v>19426429.390000001</v>
      </c>
      <c r="E49" s="212">
        <f t="shared" si="7"/>
        <v>0.76256837644749753</v>
      </c>
      <c r="F49" s="220">
        <f>SUMIF('ПО КОРИСНИЦИМА'!$F$17:$F$1823,'По основ. нам.'!A49,'ПО КОРИСНИЦИМА'!$L$17:$L$1823)</f>
        <v>26400000</v>
      </c>
      <c r="G49" s="220">
        <f>SUMIF('ПО КОРИСНИЦИМА'!$F$17:$F$1823,'По основ. нам.'!A49,'ПО КОРИСНИЦИМА'!$M$17:$M$1823)</f>
        <v>9791387.2100000009</v>
      </c>
      <c r="H49" s="207">
        <f>G49/F49</f>
        <v>0.37088587916666671</v>
      </c>
      <c r="I49" s="220">
        <f t="shared" si="6"/>
        <v>51875000</v>
      </c>
      <c r="J49" s="220">
        <f t="shared" si="2"/>
        <v>29217816.600000001</v>
      </c>
      <c r="K49" s="207">
        <f t="shared" si="8"/>
        <v>0.56323501879518079</v>
      </c>
    </row>
    <row r="50" spans="1:11" x14ac:dyDescent="0.25">
      <c r="A50" s="110" t="s">
        <v>3818</v>
      </c>
      <c r="B50" s="111" t="s">
        <v>3819</v>
      </c>
      <c r="C50" s="219">
        <f>SUM(C51:C56)</f>
        <v>20300500</v>
      </c>
      <c r="D50" s="195">
        <f>SUM(D51:D56)</f>
        <v>17393655.030000001</v>
      </c>
      <c r="E50" s="211">
        <f t="shared" si="7"/>
        <v>0.85680919336962147</v>
      </c>
      <c r="F50" s="219">
        <f>SUM(F51:F56)</f>
        <v>30000</v>
      </c>
      <c r="G50" s="219">
        <f>SUM(G51:G56)</f>
        <v>4024.82</v>
      </c>
      <c r="H50" s="206">
        <f>G50/F50</f>
        <v>0.13416066666666668</v>
      </c>
      <c r="I50" s="219">
        <f t="shared" si="6"/>
        <v>20330500</v>
      </c>
      <c r="J50" s="219">
        <f t="shared" si="2"/>
        <v>17397679.850000001</v>
      </c>
      <c r="K50" s="206">
        <f t="shared" si="8"/>
        <v>0.85574284203536566</v>
      </c>
    </row>
    <row r="51" spans="1:11" x14ac:dyDescent="0.25">
      <c r="A51" s="112">
        <v>481</v>
      </c>
      <c r="B51" s="113" t="s">
        <v>3820</v>
      </c>
      <c r="C51" s="220">
        <f>SUMIF('ПО КОРИСНИЦИМА'!$F$17:$F$1823,'По основ. нам.'!A51,'ПО КОРИСНИЦИМА'!$H$17:$H$1823)</f>
        <v>18313628</v>
      </c>
      <c r="D51" s="196">
        <f>SUMIF('ПО КОРИСНИЦИМА'!$F$17:$F$1823,'По основ. нам.'!A51,'ПО КОРИСНИЦИМА'!$I$17:$I$1823)</f>
        <v>14985968.950000001</v>
      </c>
      <c r="E51" s="212">
        <f t="shared" si="7"/>
        <v>0.81829602250302347</v>
      </c>
      <c r="F51" s="220">
        <f>SUMIF('ПО КОРИСНИЦИМА'!$F$17:$F$1823,'По основ. нам.'!A51,'ПО КОРИСНИЦИМА'!$L$17:$L$1823)</f>
        <v>0</v>
      </c>
      <c r="G51" s="220">
        <f>SUMIF('ПО КОРИСНИЦИМА'!$F$17:$F$1823,'По основ. нам.'!A51,'ПО КОРИСНИЦИМА'!$M$17:$M$1823)</f>
        <v>0</v>
      </c>
      <c r="H51" s="207"/>
      <c r="I51" s="220">
        <f t="shared" si="6"/>
        <v>18313628</v>
      </c>
      <c r="J51" s="220">
        <f t="shared" si="2"/>
        <v>14985968.950000001</v>
      </c>
      <c r="K51" s="207">
        <f t="shared" si="8"/>
        <v>0.81829602250302347</v>
      </c>
    </row>
    <row r="52" spans="1:11" x14ac:dyDescent="0.25">
      <c r="A52" s="112">
        <v>482</v>
      </c>
      <c r="B52" s="113" t="s">
        <v>3821</v>
      </c>
      <c r="C52" s="220">
        <f>SUMIF('ПО КОРИСНИЦИМА'!$F$17:$F$1823,'По основ. нам.'!A52,'ПО КОРИСНИЦИМА'!$H$17:$H$1823)</f>
        <v>402500</v>
      </c>
      <c r="D52" s="196">
        <f>SUMIF('ПО КОРИСНИЦИМА'!$F$17:$F$1823,'По основ. нам.'!A52,'ПО КОРИСНИЦИМА'!$I$17:$I$1823)</f>
        <v>293195.43</v>
      </c>
      <c r="E52" s="212">
        <f t="shared" si="7"/>
        <v>0.72843585093167695</v>
      </c>
      <c r="F52" s="220">
        <f>SUMIF('ПО КОРИСНИЦИМА'!$F$17:$F$1823,'По основ. нам.'!A52,'ПО КОРИСНИЦИМА'!$L$17:$L$1823)</f>
        <v>30000</v>
      </c>
      <c r="G52" s="220">
        <f>SUMIF('ПО КОРИСНИЦИМА'!$F$17:$F$1823,'По основ. нам.'!A52,'ПО КОРИСНИЦИМА'!$M$17:$M$1823)</f>
        <v>0</v>
      </c>
      <c r="H52" s="207">
        <f>G52/F52</f>
        <v>0</v>
      </c>
      <c r="I52" s="220">
        <f t="shared" si="6"/>
        <v>432500</v>
      </c>
      <c r="J52" s="220">
        <f t="shared" si="2"/>
        <v>293195.43</v>
      </c>
      <c r="K52" s="207">
        <f t="shared" si="8"/>
        <v>0.67790850867052022</v>
      </c>
    </row>
    <row r="53" spans="1:11" x14ac:dyDescent="0.25">
      <c r="A53" s="112">
        <v>483</v>
      </c>
      <c r="B53" s="113" t="s">
        <v>3822</v>
      </c>
      <c r="C53" s="220">
        <f>SUMIF('ПО КОРИСНИЦИМА'!$F$17:$F$1823,'По основ. нам.'!A53,'ПО КОРИСНИЦИМА'!$H$17:$H$1823)</f>
        <v>440000</v>
      </c>
      <c r="D53" s="196">
        <f>SUMIF('ПО КОРИСНИЦИМА'!$F$17:$F$1823,'По основ. нам.'!A53,'ПО КОРИСНИЦИМА'!$I$17:$I$1823)</f>
        <v>747199.41999999993</v>
      </c>
      <c r="E53" s="212">
        <f t="shared" si="7"/>
        <v>1.6981804999999999</v>
      </c>
      <c r="F53" s="220">
        <f>SUMIF('ПО КОРИСНИЦИМА'!$F$17:$F$1823,'По основ. нам.'!A53,'ПО КОРИСНИЦИМА'!$L$17:$L$1823)</f>
        <v>0</v>
      </c>
      <c r="G53" s="220">
        <f>SUMIF('ПО КОРИСНИЦИМА'!$F$17:$F$1823,'По основ. нам.'!A53,'ПО КОРИСНИЦИМА'!$M$17:$M$1823)</f>
        <v>4024.82</v>
      </c>
      <c r="H53" s="207" t="e">
        <f>G53/F53</f>
        <v>#DIV/0!</v>
      </c>
      <c r="I53" s="220">
        <f t="shared" si="6"/>
        <v>440000</v>
      </c>
      <c r="J53" s="220">
        <f t="shared" si="2"/>
        <v>751224.23999999987</v>
      </c>
      <c r="K53" s="207">
        <f t="shared" si="8"/>
        <v>1.7073278181818179</v>
      </c>
    </row>
    <row r="54" spans="1:11" x14ac:dyDescent="0.25">
      <c r="A54" s="112">
        <v>484</v>
      </c>
      <c r="B54" s="113" t="s">
        <v>3823</v>
      </c>
      <c r="C54" s="220">
        <f>SUMIF('ПО КОРИСНИЦИМА'!$F$17:$F$1823,'По основ. нам.'!A54,'ПО КОРИСНИЦИМА'!$H$17:$H$1823)</f>
        <v>1144372</v>
      </c>
      <c r="D54" s="196">
        <f>SUMIF('ПО КОРИСНИЦИМА'!$F$17:$F$1823,'По основ. нам.'!A54,'ПО КОРИСНИЦИМА'!$I$17:$I$1823)</f>
        <v>1367291.23</v>
      </c>
      <c r="E54" s="212">
        <f t="shared" si="7"/>
        <v>1.1947961239876543</v>
      </c>
      <c r="F54" s="220">
        <f>SUMIF('ПО КОРИСНИЦИМА'!$F$17:$F$1823,'По основ. нам.'!A54,'ПО КОРИСНИЦИМА'!$L$17:$L$1823)</f>
        <v>0</v>
      </c>
      <c r="G54" s="220">
        <f>SUMIF('ПО КОРИСНИЦИМА'!$F$17:$F$1823,'По основ. нам.'!A54,'ПО КОРИСНИЦИМА'!$M$17:$M$1823)</f>
        <v>0</v>
      </c>
      <c r="H54" s="207"/>
      <c r="I54" s="220">
        <f t="shared" si="6"/>
        <v>1144372</v>
      </c>
      <c r="J54" s="220">
        <f t="shared" si="2"/>
        <v>1367291.23</v>
      </c>
      <c r="K54" s="207">
        <f t="shared" si="8"/>
        <v>1.1947961239876543</v>
      </c>
    </row>
    <row r="55" spans="1:11" x14ac:dyDescent="0.25">
      <c r="A55" s="112">
        <v>485</v>
      </c>
      <c r="B55" s="113" t="s">
        <v>3824</v>
      </c>
      <c r="C55" s="220">
        <f>SUMIF('ПО КОРИСНИЦИМА'!$F$17:$F$1823,'По основ. нам.'!A55,'ПО КОРИСНИЦИМА'!$H$17:$H$1823)</f>
        <v>0</v>
      </c>
      <c r="D55" s="196">
        <f>SUMIF('ПО КОРИСНИЦИМА'!$F$17:$F$1823,'По основ. нам.'!A55,'ПО КОРИСНИЦИМА'!$I$17:$I$1823)</f>
        <v>0</v>
      </c>
      <c r="E55" s="212"/>
      <c r="F55" s="220">
        <f>SUMIF('ПО КОРИСНИЦИМА'!$F$17:$F$1823,'По основ. нам.'!A55,'ПО КОРИСНИЦИМА'!$L$17:$L$1823)</f>
        <v>0</v>
      </c>
      <c r="G55" s="220">
        <f>SUMIF('ПО КОРИСНИЦИМА'!$F$17:$F$1823,'По основ. нам.'!A55,'ПО КОРИСНИЦИМА'!$M$17:$M$1823)</f>
        <v>0</v>
      </c>
      <c r="H55" s="207"/>
      <c r="I55" s="220">
        <f t="shared" si="6"/>
        <v>0</v>
      </c>
      <c r="J55" s="220">
        <f t="shared" si="2"/>
        <v>0</v>
      </c>
      <c r="K55" s="207"/>
    </row>
    <row r="56" spans="1:11" x14ac:dyDescent="0.25">
      <c r="A56" s="112">
        <v>489</v>
      </c>
      <c r="B56" s="113" t="s">
        <v>3825</v>
      </c>
      <c r="C56" s="220">
        <f>SUMIF('ПО КОРИСНИЦИМА'!$F$17:$F$1823,'По основ. нам.'!A56,'ПО КОРИСНИЦИМА'!$H$17:$H$1823)</f>
        <v>0</v>
      </c>
      <c r="D56" s="196">
        <f>SUMIF('ПО КОРИСНИЦИМА'!$F$17:$F$1823,'По основ. нам.'!A56,'ПО КОРИСНИЦИМА'!$I$17:$I$1823)</f>
        <v>0</v>
      </c>
      <c r="E56" s="212"/>
      <c r="F56" s="220">
        <f>SUMIF('ПО КОРИСНИЦИМА'!$F$17:$F$1823,'По основ. нам.'!A56,'ПО КОРИСНИЦИМА'!$L$17:$L$1823)</f>
        <v>0</v>
      </c>
      <c r="G56" s="220">
        <f>SUMIF('ПО КОРИСНИЦИМА'!$F$17:$F$1823,'По основ. нам.'!A56,'ПО КОРИСНИЦИМА'!$M$17:$M$1823)</f>
        <v>0</v>
      </c>
      <c r="H56" s="207"/>
      <c r="I56" s="220">
        <f t="shared" si="6"/>
        <v>0</v>
      </c>
      <c r="J56" s="220">
        <f t="shared" si="2"/>
        <v>0</v>
      </c>
      <c r="K56" s="207"/>
    </row>
    <row r="57" spans="1:11" x14ac:dyDescent="0.25">
      <c r="A57" s="120">
        <v>490</v>
      </c>
      <c r="B57" s="121" t="s">
        <v>3826</v>
      </c>
      <c r="C57" s="219">
        <f>C61</f>
        <v>363099</v>
      </c>
      <c r="D57" s="195">
        <f>SUM(D58:D63)</f>
        <v>0</v>
      </c>
      <c r="E57" s="211">
        <f>D57/C57</f>
        <v>0</v>
      </c>
      <c r="F57" s="219">
        <f>SUM(F58:F63)</f>
        <v>0</v>
      </c>
      <c r="G57" s="219">
        <f>SUM(G58:G63)</f>
        <v>0</v>
      </c>
      <c r="H57" s="206"/>
      <c r="I57" s="219">
        <f t="shared" si="6"/>
        <v>363099</v>
      </c>
      <c r="J57" s="219">
        <f t="shared" si="2"/>
        <v>0</v>
      </c>
      <c r="K57" s="206">
        <f>J57/I57</f>
        <v>0</v>
      </c>
    </row>
    <row r="58" spans="1:11" ht="23.25" x14ac:dyDescent="0.25">
      <c r="A58" s="122">
        <v>494</v>
      </c>
      <c r="B58" s="123" t="s">
        <v>4118</v>
      </c>
      <c r="C58" s="220">
        <f>SUMIF('ПО КОРИСНИЦИМА'!$F$17:$F$1823,'По основ. нам.'!A58,'ПО КОРИСНИЦИМА'!$H$17:$H$1823)</f>
        <v>0</v>
      </c>
      <c r="D58" s="196">
        <f>SUMIF('ПО КОРИСНИЦИМА'!$F$17:$F$1823,'По основ. нам.'!A58,'ПО КОРИСНИЦИМА'!$I$17:$I$1823)</f>
        <v>0</v>
      </c>
      <c r="E58" s="212"/>
      <c r="F58" s="220">
        <f>SUMIF('ПО КОРИСНИЦИМА'!$F$17:$F$1823,'По основ. нам.'!A58,'ПО КОРИСНИЦИМА'!$L$17:$L$1823)</f>
        <v>0</v>
      </c>
      <c r="G58" s="220">
        <f>SUMIF('ПО КОРИСНИЦИМА'!$F$17:$F$1823,'По основ. нам.'!A58,'ПО КОРИСНИЦИМА'!$M$17:$M$1823)</f>
        <v>0</v>
      </c>
      <c r="H58" s="207"/>
      <c r="I58" s="220">
        <f t="shared" si="6"/>
        <v>0</v>
      </c>
      <c r="J58" s="220">
        <f t="shared" si="2"/>
        <v>0</v>
      </c>
      <c r="K58" s="207"/>
    </row>
    <row r="59" spans="1:11" ht="23.25" x14ac:dyDescent="0.25">
      <c r="A59" s="122">
        <v>495</v>
      </c>
      <c r="B59" s="123" t="s">
        <v>4119</v>
      </c>
      <c r="C59" s="220">
        <f>SUMIF('ПО КОРИСНИЦИМА'!$F$17:$F$1823,'По основ. нам.'!A59,'ПО КОРИСНИЦИМА'!$H$17:$H$1823)</f>
        <v>0</v>
      </c>
      <c r="D59" s="196">
        <f>SUMIF('ПО КОРИСНИЦИМА'!$F$17:$F$1823,'По основ. нам.'!A59,'ПО КОРИСНИЦИМА'!$I$17:$I$1823)</f>
        <v>0</v>
      </c>
      <c r="E59" s="212"/>
      <c r="F59" s="220">
        <f>SUMIF('ПО КОРИСНИЦИМА'!$F$17:$F$1823,'По основ. нам.'!A59,'ПО КОРИСНИЦИМА'!$L$17:$L$1823)</f>
        <v>0</v>
      </c>
      <c r="G59" s="220">
        <f>SUMIF('ПО КОРИСНИЦИМА'!$F$17:$F$1823,'По основ. нам.'!A59,'ПО КОРИСНИЦИМА'!$M$17:$M$1823)</f>
        <v>0</v>
      </c>
      <c r="H59" s="207"/>
      <c r="I59" s="220">
        <f t="shared" si="6"/>
        <v>0</v>
      </c>
      <c r="J59" s="220">
        <f t="shared" si="2"/>
        <v>0</v>
      </c>
      <c r="K59" s="207"/>
    </row>
    <row r="60" spans="1:11" ht="23.25" x14ac:dyDescent="0.25">
      <c r="A60" s="122">
        <v>496</v>
      </c>
      <c r="B60" s="123" t="s">
        <v>4120</v>
      </c>
      <c r="C60" s="220">
        <f>SUMIF('ПО КОРИСНИЦИМА'!$F$17:$F$1823,'По основ. нам.'!A60,'ПО КОРИСНИЦИМА'!$H$17:$H$1823)</f>
        <v>0</v>
      </c>
      <c r="D60" s="196">
        <f>SUMIF('ПО КОРИСНИЦИМА'!$F$17:$F$1823,'По основ. нам.'!A60,'ПО КОРИСНИЦИМА'!$I$17:$I$1823)</f>
        <v>0</v>
      </c>
      <c r="E60" s="212"/>
      <c r="F60" s="220">
        <f>SUMIF('ПО КОРИСНИЦИМА'!$F$17:$F$1823,'По основ. нам.'!A60,'ПО КОРИСНИЦИМА'!$L$17:$L$1823)</f>
        <v>0</v>
      </c>
      <c r="G60" s="220">
        <f>SUMIF('ПО КОРИСНИЦИМА'!$F$17:$F$1823,'По основ. нам.'!A60,'ПО КОРИСНИЦИМА'!$M$17:$M$1823)</f>
        <v>0</v>
      </c>
      <c r="H60" s="207"/>
      <c r="I60" s="220">
        <f t="shared" si="6"/>
        <v>0</v>
      </c>
      <c r="J60" s="220">
        <f t="shared" si="2"/>
        <v>0</v>
      </c>
      <c r="K60" s="207"/>
    </row>
    <row r="61" spans="1:11" ht="23.25" x14ac:dyDescent="0.25">
      <c r="A61" s="122">
        <v>499</v>
      </c>
      <c r="B61" s="123" t="s">
        <v>4121</v>
      </c>
      <c r="C61" s="220">
        <f>SUMIF('ПО КОРИСНИЦИМА'!$F$17:$F$1823,'По основ. нам.'!A61,'ПО КОРИСНИЦИМА'!$H$17:$H$1823)</f>
        <v>363099</v>
      </c>
      <c r="D61" s="196">
        <f>SUMIF('ПО КОРИСНИЦИМА'!$F$17:$F$1823,'По основ. нам.'!A61,'ПО КОРИСНИЦИМА'!$I$17:$I$1823)</f>
        <v>0</v>
      </c>
      <c r="E61" s="212">
        <f>D61/C61</f>
        <v>0</v>
      </c>
      <c r="F61" s="220">
        <f>SUMIF('ПО КОРИСНИЦИМА'!$F$17:$F$1823,'По основ. нам.'!A61,'ПО КОРИСНИЦИМА'!$L$17:$L$1823)</f>
        <v>0</v>
      </c>
      <c r="G61" s="220">
        <f>SUMIF('ПО КОРИСНИЦИМА'!$F$17:$F$1823,'По основ. нам.'!A61,'ПО КОРИСНИЦИМА'!$M$17:$M$1823)</f>
        <v>0</v>
      </c>
      <c r="H61" s="207"/>
      <c r="I61" s="220">
        <f t="shared" si="6"/>
        <v>363099</v>
      </c>
      <c r="J61" s="220">
        <f t="shared" si="2"/>
        <v>0</v>
      </c>
      <c r="K61" s="207">
        <f>J61/I61</f>
        <v>0</v>
      </c>
    </row>
    <row r="62" spans="1:11" x14ac:dyDescent="0.25">
      <c r="A62" s="122">
        <v>49911</v>
      </c>
      <c r="B62" s="123" t="s">
        <v>3827</v>
      </c>
      <c r="C62" s="220">
        <v>0</v>
      </c>
      <c r="D62" s="196">
        <f>SUMIF('ПО КОРИСНИЦИМА'!$F$17:$F$1823,'По основ. нам.'!A62,'ПО КОРИСНИЦИМА'!$I$17:$I$1823)</f>
        <v>0</v>
      </c>
      <c r="E62" s="212"/>
      <c r="F62" s="220">
        <f>SUMIF('ПО КОРИСНИЦИМА'!$F$17:$F$1823,'По основ. нам.'!A62,'ПО КОРИСНИЦИМА'!$L$17:$L$1823)</f>
        <v>0</v>
      </c>
      <c r="G62" s="220">
        <f>SUMIF('ПО КОРИСНИЦИМА'!$F$17:$F$1823,'По основ. нам.'!A62,'ПО КОРИСНИЦИМА'!$M$17:$M$1823)</f>
        <v>0</v>
      </c>
      <c r="H62" s="207"/>
      <c r="I62" s="220">
        <f t="shared" si="6"/>
        <v>0</v>
      </c>
      <c r="J62" s="220">
        <f t="shared" si="2"/>
        <v>0</v>
      </c>
      <c r="K62" s="207"/>
    </row>
    <row r="63" spans="1:11" x14ac:dyDescent="0.25">
      <c r="A63" s="112" t="s">
        <v>3828</v>
      </c>
      <c r="B63" s="113" t="s">
        <v>3829</v>
      </c>
      <c r="C63" s="220">
        <f>C61-C62</f>
        <v>363099</v>
      </c>
      <c r="D63" s="196">
        <f>SUMIF('ПО КОРИСНИЦИМА'!$F$17:$F$1823,'По основ. нам.'!A63,'ПО КОРИСНИЦИМА'!$I$17:$I$1823)</f>
        <v>0</v>
      </c>
      <c r="E63" s="212"/>
      <c r="F63" s="220">
        <f>SUMIF('ПО КОРИСНИЦИМА'!$F$17:$F$1823,'По основ. нам.'!A63,'ПО КОРИСНИЦИМА'!$L$17:$L$1823)</f>
        <v>0</v>
      </c>
      <c r="G63" s="220">
        <f>SUMIF('ПО КОРИСНИЦИМА'!$F$17:$F$1823,'По основ. нам.'!A63,'ПО КОРИСНИЦИМА'!$M$17:$M$1823)</f>
        <v>0</v>
      </c>
      <c r="H63" s="207"/>
      <c r="I63" s="220">
        <f t="shared" si="6"/>
        <v>363099</v>
      </c>
      <c r="J63" s="220">
        <f t="shared" si="2"/>
        <v>0</v>
      </c>
      <c r="K63" s="207"/>
    </row>
    <row r="64" spans="1:11" x14ac:dyDescent="0.25">
      <c r="A64" s="158" t="s">
        <v>3956</v>
      </c>
      <c r="B64" s="159" t="s">
        <v>4215</v>
      </c>
      <c r="C64" s="221">
        <f>SUM(C65,C71,C76,C80)</f>
        <v>39076124.810000002</v>
      </c>
      <c r="D64" s="228">
        <f t="shared" ref="D64:K64" si="9">SUM(D65,D71,D76,D80)</f>
        <v>14283740.889999997</v>
      </c>
      <c r="E64" s="213">
        <f t="shared" si="9"/>
        <v>2.4532688853783355</v>
      </c>
      <c r="F64" s="221">
        <f t="shared" si="9"/>
        <v>65233457.549999997</v>
      </c>
      <c r="G64" s="221">
        <f t="shared" si="9"/>
        <v>9275301.25</v>
      </c>
      <c r="H64" s="209">
        <f t="shared" si="9"/>
        <v>0.23053701607606431</v>
      </c>
      <c r="I64" s="221">
        <f>SUM(I65,I71,I76,I80)</f>
        <v>104309582.36</v>
      </c>
      <c r="J64" s="221">
        <f t="shared" si="9"/>
        <v>23559042.140000001</v>
      </c>
      <c r="K64" s="209">
        <f t="shared" si="9"/>
        <v>0.35001219062540695</v>
      </c>
    </row>
    <row r="65" spans="1:11" x14ac:dyDescent="0.25">
      <c r="A65" s="110" t="s">
        <v>3830</v>
      </c>
      <c r="B65" s="111" t="s">
        <v>3831</v>
      </c>
      <c r="C65" s="219">
        <f>SUM(C66:C70)</f>
        <v>38176124.810000002</v>
      </c>
      <c r="D65" s="195">
        <f>SUM(D66:D70)</f>
        <v>12367358.679999998</v>
      </c>
      <c r="E65" s="211">
        <f>D65/C65</f>
        <v>0.32395531871166883</v>
      </c>
      <c r="F65" s="219">
        <f>SUM(F66:F70)</f>
        <v>40233457.549999997</v>
      </c>
      <c r="G65" s="219">
        <f>SUM(G66:G70)</f>
        <v>9275301.25</v>
      </c>
      <c r="H65" s="206">
        <f>G65/F65</f>
        <v>0.23053701607606431</v>
      </c>
      <c r="I65" s="219">
        <f t="shared" ref="I65:I74" si="10">C65+F65</f>
        <v>78409582.359999999</v>
      </c>
      <c r="J65" s="219">
        <f t="shared" si="2"/>
        <v>21642659.93</v>
      </c>
      <c r="K65" s="206">
        <f>J65/I65</f>
        <v>0.27602059950571584</v>
      </c>
    </row>
    <row r="66" spans="1:11" x14ac:dyDescent="0.25">
      <c r="A66" s="112" t="s">
        <v>5318</v>
      </c>
      <c r="B66" s="113" t="s">
        <v>3832</v>
      </c>
      <c r="C66" s="220">
        <f>SUMIF('ПО КОРИСНИЦИМА'!$F$17:$F$1823,'По основ. нам.'!A66,'ПО КОРИСНИЦИМА'!$H$17:$H$1823)</f>
        <v>34111124.810000002</v>
      </c>
      <c r="D66" s="196">
        <f>SUMIF('ПО КОРИСНИЦИМА'!$F$17:$F$1823,'По основ. нам.'!A66,'ПО КОРИСНИЦИМА'!$I$17:$I$1823)</f>
        <v>8420015.7299999986</v>
      </c>
      <c r="E66" s="212">
        <f>D66/C66</f>
        <v>0.24684075288926241</v>
      </c>
      <c r="F66" s="220">
        <f>SUMIF('ПО КОРИСНИЦИМА'!$F$17:$F$1823,'По основ. нам.'!A66,'ПО КОРИСНИЦИМА'!$L$17:$L$1823)</f>
        <v>40075030.549999997</v>
      </c>
      <c r="G66" s="220">
        <f>SUMIF('ПО КОРИСНИЦИМА'!$F$17:$F$1823,'По основ. нам.'!A66,'ПО КОРИСНИЦИМА'!$M$17:$M$1823)</f>
        <v>9266237.25</v>
      </c>
      <c r="H66" s="207">
        <f>G66/F66</f>
        <v>0.23122221300465112</v>
      </c>
      <c r="I66" s="220">
        <f t="shared" si="10"/>
        <v>74186155.359999999</v>
      </c>
      <c r="J66" s="220">
        <f t="shared" si="2"/>
        <v>17686252.979999997</v>
      </c>
      <c r="K66" s="207">
        <f>J66/I66</f>
        <v>0.23840368724022251</v>
      </c>
    </row>
    <row r="67" spans="1:11" x14ac:dyDescent="0.25">
      <c r="A67" s="112">
        <v>512</v>
      </c>
      <c r="B67" s="113" t="s">
        <v>3833</v>
      </c>
      <c r="C67" s="220">
        <f>SUMIF('ПО КОРИСНИЦИМА'!$F$17:$F$1823,'По основ. нам.'!A67,'ПО КОРИСНИЦИМА'!$H$17:$H$1823)</f>
        <v>3445000</v>
      </c>
      <c r="D67" s="196">
        <f>SUMIF('ПО КОРИСНИЦИМА'!$F$17:$F$1823,'По основ. нам.'!A67,'ПО КОРИСНИЦИМА'!$I$17:$I$1823)</f>
        <v>3249540.01</v>
      </c>
      <c r="E67" s="212">
        <f>D67/C67</f>
        <v>0.94326270246734389</v>
      </c>
      <c r="F67" s="220">
        <f>SUMIF('ПО КОРИСНИЦИМА'!$F$17:$F$1823,'По основ. нам.'!A67,'ПО КОРИСНИЦИМА'!$L$17:$L$1823)</f>
        <v>30000</v>
      </c>
      <c r="G67" s="220">
        <f>SUMIF('ПО КОРИСНИЦИМА'!$F$17:$F$1823,'По основ. нам.'!A67,'ПО КОРИСНИЦИМА'!$M$17:$M$1823)</f>
        <v>6484</v>
      </c>
      <c r="H67" s="207">
        <f>G67/F67</f>
        <v>0.21613333333333334</v>
      </c>
      <c r="I67" s="220">
        <f t="shared" si="10"/>
        <v>3475000</v>
      </c>
      <c r="J67" s="220">
        <f t="shared" si="2"/>
        <v>3256024.01</v>
      </c>
      <c r="K67" s="207">
        <f>J67/I67</f>
        <v>0.93698532661870493</v>
      </c>
    </row>
    <row r="68" spans="1:11" x14ac:dyDescent="0.25">
      <c r="A68" s="112">
        <v>513</v>
      </c>
      <c r="B68" s="113" t="s">
        <v>3834</v>
      </c>
      <c r="C68" s="220">
        <f>SUMIF('ПО КОРИСНИЦИМА'!$F$17:$F$1823,'По основ. нам.'!A68,'ПО КОРИСНИЦИМА'!$H$17:$H$1823)</f>
        <v>20000</v>
      </c>
      <c r="D68" s="196">
        <f>SUMIF('ПО КОРИСНИЦИМА'!$F$17:$F$1823,'По основ. нам.'!A68,'ПО КОРИСНИЦИМА'!$I$17:$I$1823)</f>
        <v>20214.439999999999</v>
      </c>
      <c r="E68" s="212"/>
      <c r="F68" s="220">
        <f>SUMIF('ПО КОРИСНИЦИМА'!$F$17:$F$1823,'По основ. нам.'!A68,'ПО КОРИСНИЦИМА'!$L$17:$L$1823)</f>
        <v>0</v>
      </c>
      <c r="G68" s="220">
        <f>SUMIF('ПО КОРИСНИЦИМА'!$F$17:$F$1823,'По основ. нам.'!A68,'ПО КОРИСНИЦИМА'!$M$17:$M$1823)</f>
        <v>0</v>
      </c>
      <c r="H68" s="207"/>
      <c r="I68" s="241">
        <f t="shared" si="10"/>
        <v>20000</v>
      </c>
      <c r="J68" s="241">
        <f t="shared" si="2"/>
        <v>20214.439999999999</v>
      </c>
      <c r="K68" s="208"/>
    </row>
    <row r="69" spans="1:11" x14ac:dyDescent="0.25">
      <c r="A69" s="112">
        <v>514</v>
      </c>
      <c r="B69" s="113" t="s">
        <v>3835</v>
      </c>
      <c r="C69" s="220">
        <f>SUMIF('ПО КОРИСНИЦИМА'!$F$17:$F$1823,'По основ. нам.'!A69,'ПО КОРИСНИЦИМА'!$H$17:$H$1823)</f>
        <v>0</v>
      </c>
      <c r="D69" s="196">
        <f>SUMIF('ПО КОРИСНИЦИМА'!$F$17:$F$1823,'По основ. нам.'!A69,'ПО КОРИСНИЦИМА'!$I$17:$I$1823)</f>
        <v>0</v>
      </c>
      <c r="E69" s="212"/>
      <c r="F69" s="220">
        <f>SUMIF('ПО КОРИСНИЦИМА'!$F$17:$F$1823,'По основ. нам.'!A69,'ПО КОРИСНИЦИМА'!$L$17:$L$1823)</f>
        <v>0</v>
      </c>
      <c r="G69" s="220">
        <f>SUMIF('ПО КОРИСНИЦИМА'!$F$17:$F$1823,'По основ. нам.'!A69,'ПО КОРИСНИЦИМА'!$M$17:$M$1823)</f>
        <v>0</v>
      </c>
      <c r="H69" s="207"/>
      <c r="I69" s="220">
        <f t="shared" si="10"/>
        <v>0</v>
      </c>
      <c r="J69" s="220">
        <f t="shared" si="2"/>
        <v>0</v>
      </c>
      <c r="K69" s="207"/>
    </row>
    <row r="70" spans="1:11" x14ac:dyDescent="0.25">
      <c r="A70" s="112">
        <v>515</v>
      </c>
      <c r="B70" s="113" t="s">
        <v>3836</v>
      </c>
      <c r="C70" s="220">
        <f>SUMIF('ПО КОРИСНИЦИМА'!$F$17:$F$1823,'По основ. нам.'!A70,'ПО КОРИСНИЦИМА'!$H$17:$H$1823)</f>
        <v>600000</v>
      </c>
      <c r="D70" s="196">
        <f>SUMIF('ПО КОРИСНИЦИМА'!$F$17:$F$1823,'По основ. нам.'!A70,'ПО КОРИСНИЦИМА'!$I$17:$I$1823)</f>
        <v>677588.5</v>
      </c>
      <c r="E70" s="212">
        <f>D70/C70</f>
        <v>1.1293141666666666</v>
      </c>
      <c r="F70" s="220">
        <f>SUMIF('ПО КОРИСНИЦИМА'!$F$17:$F$1823,'По основ. нам.'!A70,'ПО КОРИСНИЦИМА'!$L$17:$L$1823)</f>
        <v>128427</v>
      </c>
      <c r="G70" s="220">
        <f>SUMIF('ПО КОРИСНИЦИМА'!$F$17:$F$1823,'По основ. нам.'!A70,'ПО КОРИСНИЦИМА'!$M$17:$M$1823)</f>
        <v>2580</v>
      </c>
      <c r="H70" s="207">
        <f>G70/F70</f>
        <v>2.0089233572379638E-2</v>
      </c>
      <c r="I70" s="220">
        <f t="shared" si="10"/>
        <v>728427</v>
      </c>
      <c r="J70" s="220">
        <f t="shared" si="2"/>
        <v>680168.5</v>
      </c>
      <c r="K70" s="207">
        <f>J70/I70</f>
        <v>0.93374970999152973</v>
      </c>
    </row>
    <row r="71" spans="1:11" x14ac:dyDescent="0.25">
      <c r="A71" s="110" t="s">
        <v>3837</v>
      </c>
      <c r="B71" s="111" t="s">
        <v>3838</v>
      </c>
      <c r="C71" s="219">
        <f>SUM(C72:C75)</f>
        <v>0</v>
      </c>
      <c r="D71" s="195">
        <f>SUM(D72:D75)</f>
        <v>0</v>
      </c>
      <c r="E71" s="211"/>
      <c r="F71" s="219">
        <f>SUM(F72:F74)</f>
        <v>0</v>
      </c>
      <c r="G71" s="219">
        <f>SUM(G72:G75)</f>
        <v>0</v>
      </c>
      <c r="H71" s="206"/>
      <c r="I71" s="219">
        <f t="shared" si="10"/>
        <v>0</v>
      </c>
      <c r="J71" s="219">
        <f t="shared" si="2"/>
        <v>0</v>
      </c>
      <c r="K71" s="206"/>
    </row>
    <row r="72" spans="1:11" x14ac:dyDescent="0.25">
      <c r="A72" s="118">
        <v>521</v>
      </c>
      <c r="B72" s="124" t="s">
        <v>3839</v>
      </c>
      <c r="C72" s="220">
        <f>SUMIF('ПО КОРИСНИЦИМА'!$F$17:$F$1823,'По основ. нам.'!A72,'ПО КОРИСНИЦИМА'!$H$17:$H$1823)</f>
        <v>0</v>
      </c>
      <c r="D72" s="197">
        <f>SUMIF('ПО КОРИСНИЦИМА'!$F$17:$F$1823,'По основ. нам.'!A72,'ПО КОРИСНИЦИМА'!$I$17:$I$1823)</f>
        <v>0</v>
      </c>
      <c r="E72" s="214"/>
      <c r="F72" s="220">
        <f>SUMIF('ПО КОРИСНИЦИМА'!$F$17:$F$1823,'По основ. нам.'!A72,'ПО КОРИСНИЦИМА'!$L$17:$L$1823)</f>
        <v>0</v>
      </c>
      <c r="G72" s="220">
        <f>SUMIF('ПО КОРИСНИЦИМА'!$F$17:$F$1823,'По основ. нам.'!A72,'ПО КОРИСНИЦИМА'!$M$17:$M$1823)</f>
        <v>0</v>
      </c>
      <c r="H72" s="207"/>
      <c r="I72" s="220">
        <f t="shared" si="10"/>
        <v>0</v>
      </c>
      <c r="J72" s="220">
        <f t="shared" ref="J72:J89" si="11">D72+G72</f>
        <v>0</v>
      </c>
      <c r="K72" s="207"/>
    </row>
    <row r="73" spans="1:11" x14ac:dyDescent="0.25">
      <c r="A73" s="118">
        <v>522</v>
      </c>
      <c r="B73" s="124" t="s">
        <v>3840</v>
      </c>
      <c r="C73" s="220">
        <f>SUMIF('ПО КОРИСНИЦИМА'!$F$17:$F$1823,'По основ. нам.'!A73,'ПО КОРИСНИЦИМА'!$H$17:$H$1823)</f>
        <v>0</v>
      </c>
      <c r="D73" s="197">
        <f>SUMIF('ПО КОРИСНИЦИМА'!$F$17:$F$1823,'По основ. нам.'!A73,'ПО КОРИСНИЦИМА'!$I$17:$I$1823)</f>
        <v>0</v>
      </c>
      <c r="E73" s="214"/>
      <c r="F73" s="220">
        <f>SUMIF('ПО КОРИСНИЦИМА'!$F$17:$F$1823,'По основ. нам.'!A73,'ПО КОРИСНИЦИМА'!$L$17:$L$1823)</f>
        <v>0</v>
      </c>
      <c r="G73" s="220">
        <f>SUMIF('ПО КОРИСНИЦИМА'!$F$17:$F$1823,'По основ. нам.'!A73,'ПО КОРИСНИЦИМА'!$M$17:$M$1823)</f>
        <v>0</v>
      </c>
      <c r="H73" s="207"/>
      <c r="I73" s="220">
        <f t="shared" si="10"/>
        <v>0</v>
      </c>
      <c r="J73" s="220">
        <f t="shared" si="11"/>
        <v>0</v>
      </c>
      <c r="K73" s="207"/>
    </row>
    <row r="74" spans="1:11" x14ac:dyDescent="0.25">
      <c r="A74" s="118">
        <v>523</v>
      </c>
      <c r="B74" s="125" t="s">
        <v>3841</v>
      </c>
      <c r="C74" s="220">
        <f>SUMIF('ПО КОРИСНИЦИМА'!$F$17:$F$1823,'По основ. нам.'!A74,'ПО КОРИСНИЦИМА'!$H$17:$H$1823)</f>
        <v>0</v>
      </c>
      <c r="D74" s="197">
        <f>SUMIF('ПО КОРИСНИЦИМА'!$F$17:$F$1823,'По основ. нам.'!A74,'ПО КОРИСНИЦИМА'!$I$17:$I$1823)</f>
        <v>0</v>
      </c>
      <c r="E74" s="214"/>
      <c r="F74" s="220">
        <f>SUMIF('ПО КОРИСНИЦИМА'!$F$17:$F$1823,'По основ. нам.'!A74,'ПО КОРИСНИЦИМА'!$L$17:$L$1823)</f>
        <v>0</v>
      </c>
      <c r="G74" s="220">
        <f>SUMIF('ПО КОРИСНИЦИМА'!$F$17:$F$1823,'По основ. нам.'!A74,'ПО КОРИСНИЦИМА'!$M$17:$M$1823)</f>
        <v>0</v>
      </c>
      <c r="H74" s="207"/>
      <c r="I74" s="220">
        <f t="shared" si="10"/>
        <v>0</v>
      </c>
      <c r="J74" s="220">
        <f t="shared" si="11"/>
        <v>0</v>
      </c>
      <c r="K74" s="207"/>
    </row>
    <row r="75" spans="1:11" x14ac:dyDescent="0.25">
      <c r="A75" s="118">
        <v>531</v>
      </c>
      <c r="B75" s="125" t="s">
        <v>4122</v>
      </c>
      <c r="C75" s="220">
        <f>SUMIF('ПО КОРИСНИЦИМА'!$F$17:$F$1823,'По основ. нам.'!A75,'ПО КОРИСНИЦИМА'!$H$17:$H$1823)</f>
        <v>0</v>
      </c>
      <c r="D75" s="197">
        <f>SUMIF('ПО КОРИСНИЦИМА'!$F$17:$F$1823,'По основ. нам.'!A75,'ПО КОРИСНИЦИМА'!$I$17:$I$1823)</f>
        <v>0</v>
      </c>
      <c r="E75" s="214"/>
      <c r="F75" s="220">
        <v>0</v>
      </c>
      <c r="G75" s="220">
        <f>SUMIF('ПО КОРИСНИЦИМА'!$F$17:$F$1823,'По основ. нам.'!A75,'ПО КОРИСНИЦИМА'!$M$17:$M$1823)</f>
        <v>0</v>
      </c>
      <c r="H75" s="207"/>
      <c r="I75" s="220">
        <v>0</v>
      </c>
      <c r="J75" s="220">
        <f t="shared" si="11"/>
        <v>0</v>
      </c>
      <c r="K75" s="207"/>
    </row>
    <row r="76" spans="1:11" ht="15.75" customHeight="1" x14ac:dyDescent="0.25">
      <c r="A76" s="110" t="s">
        <v>3842</v>
      </c>
      <c r="B76" s="111" t="s">
        <v>3843</v>
      </c>
      <c r="C76" s="222">
        <f>SUM(C77:C79)</f>
        <v>900000</v>
      </c>
      <c r="D76" s="198">
        <f>SUM(D77:D79)</f>
        <v>1916382.21</v>
      </c>
      <c r="E76" s="215">
        <f>D76/C76</f>
        <v>2.1293135666666667</v>
      </c>
      <c r="F76" s="223">
        <f>SUM(F77:F79)</f>
        <v>25000000</v>
      </c>
      <c r="G76" s="223">
        <f>SUM(G77:G79)</f>
        <v>0</v>
      </c>
      <c r="H76" s="233"/>
      <c r="I76" s="219">
        <f t="shared" ref="I76:I84" si="12">C76+F76</f>
        <v>25900000</v>
      </c>
      <c r="J76" s="219">
        <f t="shared" si="11"/>
        <v>1916382.21</v>
      </c>
      <c r="K76" s="206">
        <f>J76/I76</f>
        <v>7.3991591119691114E-2</v>
      </c>
    </row>
    <row r="77" spans="1:11" x14ac:dyDescent="0.25">
      <c r="A77" s="118">
        <v>541</v>
      </c>
      <c r="B77" s="124" t="s">
        <v>3844</v>
      </c>
      <c r="C77" s="220">
        <f>SUMIF('ПО КОРИСНИЦИМА'!$F$17:$F$1823,'По основ. нам.'!A77,'ПО КОРИСНИЦИМА'!$H$17:$H$1823)</f>
        <v>900000</v>
      </c>
      <c r="D77" s="197">
        <f>SUMIF('ПО КОРИСНИЦИМА'!$F$17:$F$1823,'По основ. нам.'!A77,'ПО КОРИСНИЦИМА'!$I$17:$I$1823)</f>
        <v>1916382.21</v>
      </c>
      <c r="E77" s="214">
        <f>D77/C77</f>
        <v>2.1293135666666667</v>
      </c>
      <c r="F77" s="220">
        <f>SUMIF('ПО КОРИСНИЦИМА'!$F$17:$F$1823,'По основ. нам.'!A77,'ПО КОРИСНИЦИМА'!$L$17:$L$1823)</f>
        <v>0</v>
      </c>
      <c r="G77" s="220">
        <f>SUMIF('ПО КОРИСНИЦИМА'!$F$17:$F$1823,'По основ. нам.'!A77,'ПО КОРИСНИЦИМА'!$M$17:$M$1823)</f>
        <v>0</v>
      </c>
      <c r="H77" s="207"/>
      <c r="I77" s="241">
        <f t="shared" si="12"/>
        <v>900000</v>
      </c>
      <c r="J77" s="241">
        <f t="shared" si="11"/>
        <v>1916382.21</v>
      </c>
      <c r="K77" s="207">
        <f>J77/I77</f>
        <v>2.1293135666666667</v>
      </c>
    </row>
    <row r="78" spans="1:11" x14ac:dyDescent="0.25">
      <c r="A78" s="118">
        <v>542</v>
      </c>
      <c r="B78" s="124" t="s">
        <v>3845</v>
      </c>
      <c r="C78" s="220">
        <f>SUMIF('ПО КОРИСНИЦИМА'!$F$17:$F$1823,'По основ. нам.'!A78,'ПО КОРИСНИЦИМА'!$H$17:$H$1823)</f>
        <v>0</v>
      </c>
      <c r="D78" s="197">
        <f>SUMIF('ПО КОРИСНИЦИМА'!$F$17:$F$1823,'По основ. нам.'!A78,'ПО КОРИСНИЦИМА'!$I$17:$I$1823)</f>
        <v>0</v>
      </c>
      <c r="E78" s="214"/>
      <c r="F78" s="220">
        <f>SUMIF('ПО КОРИСНИЦИМА'!$F$17:$F$1823,'По основ. нам.'!A78,'ПО КОРИСНИЦИМА'!$L$17:$L$1823)</f>
        <v>0</v>
      </c>
      <c r="G78" s="220">
        <f>SUMIF('ПО КОРИСНИЦИМА'!$F$17:$F$1823,'По основ. нам.'!A78,'ПО КОРИСНИЦИМА'!$M$17:$M$1823)</f>
        <v>0</v>
      </c>
      <c r="H78" s="207"/>
      <c r="I78" s="241">
        <f t="shared" si="12"/>
        <v>0</v>
      </c>
      <c r="J78" s="241">
        <f t="shared" si="11"/>
        <v>0</v>
      </c>
      <c r="K78" s="208"/>
    </row>
    <row r="79" spans="1:11" x14ac:dyDescent="0.25">
      <c r="A79" s="118">
        <v>543</v>
      </c>
      <c r="B79" s="125" t="s">
        <v>3846</v>
      </c>
      <c r="C79" s="220">
        <f>SUMIF('ПО КОРИСНИЦИМА'!$F$17:$F$1823,'По основ. нам.'!A79,'ПО КОРИСНИЦИМА'!$H$17:$H$1823)</f>
        <v>0</v>
      </c>
      <c r="D79" s="197">
        <f>SUMIF('ПО КОРИСНИЦИМА'!$F$17:$F$1823,'По основ. нам.'!A79,'ПО КОРИСНИЦИМА'!$I$17:$I$1823)</f>
        <v>0</v>
      </c>
      <c r="E79" s="214"/>
      <c r="F79" s="220">
        <f>SUMIF('ПО КОРИСНИЦИМА'!$F$17:$F$1823,'По основ. нам.'!A79,'ПО КОРИСНИЦИМА'!$L$17:$L$1823)</f>
        <v>25000000</v>
      </c>
      <c r="G79" s="220">
        <f>SUMIF('ПО КОРИСНИЦИМА'!$F$17:$F$1823,'По основ. нам.'!A79,'ПО КОРИСНИЦИМА'!$M$17:$M$1823)</f>
        <v>0</v>
      </c>
      <c r="H79" s="207"/>
      <c r="I79" s="241">
        <f t="shared" si="12"/>
        <v>25000000</v>
      </c>
      <c r="J79" s="241">
        <f t="shared" si="11"/>
        <v>0</v>
      </c>
      <c r="K79" s="208"/>
    </row>
    <row r="80" spans="1:11" x14ac:dyDescent="0.25">
      <c r="A80" s="126">
        <v>550</v>
      </c>
      <c r="B80" s="127" t="s">
        <v>3847</v>
      </c>
      <c r="C80" s="223">
        <f>SUM(C81)</f>
        <v>0</v>
      </c>
      <c r="D80" s="199">
        <f>SUM(D81)</f>
        <v>0</v>
      </c>
      <c r="E80" s="216"/>
      <c r="F80" s="223">
        <f>SUM(F81)</f>
        <v>0</v>
      </c>
      <c r="G80" s="223">
        <f>SUM(G81)</f>
        <v>0</v>
      </c>
      <c r="H80" s="233"/>
      <c r="I80" s="219">
        <f t="shared" si="12"/>
        <v>0</v>
      </c>
      <c r="J80" s="219">
        <f t="shared" si="11"/>
        <v>0</v>
      </c>
      <c r="K80" s="206"/>
    </row>
    <row r="81" spans="1:11" x14ac:dyDescent="0.25">
      <c r="A81" s="118">
        <v>551</v>
      </c>
      <c r="B81" s="128" t="s">
        <v>3848</v>
      </c>
      <c r="C81" s="220">
        <f>SUMIF('ПО КОРИСНИЦИМА'!$F$17:$F$1823,'По основ. нам.'!A81,'ПО КОРИСНИЦИМА'!$H$17:$H$1823)</f>
        <v>0</v>
      </c>
      <c r="D81" s="197">
        <f>SUMIF('ПО КОРИСНИЦИМА'!$F$17:$F$1823,'По основ. нам.'!A81,'ПО КОРИСНИЦИМА'!$I$17:$I$1823)</f>
        <v>0</v>
      </c>
      <c r="E81" s="214"/>
      <c r="F81" s="220">
        <f>SUMIF('ПО КОРИСНИЦИМА'!$F$17:$F$1823,'По основ. нам.'!A81,'ПО КОРИСНИЦИМА'!$L$17:$L$1823)</f>
        <v>0</v>
      </c>
      <c r="G81" s="220">
        <f>SUMIF('ПО КОРИСНИЦИМА'!$F$17:$F$1823,'По основ. нам.'!A81,'ПО КОРИСНИЦИМА'!$M$17:$M$1823)</f>
        <v>0</v>
      </c>
      <c r="H81" s="207"/>
      <c r="I81" s="241">
        <f t="shared" si="12"/>
        <v>0</v>
      </c>
      <c r="J81" s="241">
        <f t="shared" si="11"/>
        <v>0</v>
      </c>
      <c r="K81" s="208"/>
    </row>
    <row r="82" spans="1:11" ht="29.25" customHeight="1" x14ac:dyDescent="0.25">
      <c r="A82" s="158" t="s">
        <v>3965</v>
      </c>
      <c r="B82" s="657" t="s">
        <v>5371</v>
      </c>
      <c r="C82" s="221">
        <f>C83</f>
        <v>3770000</v>
      </c>
      <c r="D82" s="228">
        <f t="shared" ref="D82:K82" si="13">D83</f>
        <v>152968.07999999999</v>
      </c>
      <c r="E82" s="213">
        <f t="shared" si="13"/>
        <v>4.0575087533156494E-2</v>
      </c>
      <c r="F82" s="221">
        <f t="shared" si="13"/>
        <v>0</v>
      </c>
      <c r="G82" s="221">
        <f t="shared" si="13"/>
        <v>0</v>
      </c>
      <c r="H82" s="209">
        <f t="shared" si="13"/>
        <v>0</v>
      </c>
      <c r="I82" s="221">
        <f t="shared" si="13"/>
        <v>3770000</v>
      </c>
      <c r="J82" s="221">
        <f t="shared" si="13"/>
        <v>152968.07999999999</v>
      </c>
      <c r="K82" s="209">
        <f t="shared" si="13"/>
        <v>4.0575087533156494E-2</v>
      </c>
    </row>
    <row r="83" spans="1:11" x14ac:dyDescent="0.25">
      <c r="A83" s="110" t="s">
        <v>3849</v>
      </c>
      <c r="B83" s="111" t="s">
        <v>3850</v>
      </c>
      <c r="C83" s="223">
        <f>SUM(C84:C86)</f>
        <v>3770000</v>
      </c>
      <c r="D83" s="198">
        <f>SUM(D84:D86)</f>
        <v>152968.07999999999</v>
      </c>
      <c r="E83" s="215">
        <f>D83/C83</f>
        <v>4.0575087533156494E-2</v>
      </c>
      <c r="F83" s="223">
        <f>SUM(F84:F86)</f>
        <v>0</v>
      </c>
      <c r="G83" s="223">
        <f>SUM(G84:G86)</f>
        <v>0</v>
      </c>
      <c r="H83" s="233"/>
      <c r="I83" s="219">
        <f t="shared" si="12"/>
        <v>3770000</v>
      </c>
      <c r="J83" s="219">
        <f t="shared" si="11"/>
        <v>152968.07999999999</v>
      </c>
      <c r="K83" s="206">
        <f>J83/I83</f>
        <v>4.0575087533156494E-2</v>
      </c>
    </row>
    <row r="84" spans="1:11" x14ac:dyDescent="0.25">
      <c r="A84" s="112" t="s">
        <v>3851</v>
      </c>
      <c r="B84" s="113" t="s">
        <v>3852</v>
      </c>
      <c r="C84" s="220">
        <f>SUMIF('ПО КОРИСНИЦИМА'!$F$17:$F$1823,'По основ. нам.'!A84,'ПО КОРИСНИЦИМА'!$H$17:$H$1823)</f>
        <v>3770000</v>
      </c>
      <c r="D84" s="197">
        <f>SUMIF('ПО КОРИСНИЦИМА'!$F$17:$F$1823,'По основ. нам.'!A84,'ПО КОРИСНИЦИМА'!$I$17:$I$1823)</f>
        <v>152968.07999999999</v>
      </c>
      <c r="E84" s="214">
        <f>D84/C84</f>
        <v>4.0575087533156494E-2</v>
      </c>
      <c r="F84" s="220">
        <f>SUMIF('ПО КОРИСНИЦИМА'!$F$17:$F$1823,'По основ. нам.'!A84,'ПО КОРИСНИЦИМА'!$L$17:$L$1823)</f>
        <v>0</v>
      </c>
      <c r="G84" s="220">
        <f>SUMIF('ПО КОРИСНИЦИМА'!$F$17:$F$1823,'По основ. нам.'!A84,'ПО КОРИСНИЦИМА'!$M$17:$M$1823)</f>
        <v>0</v>
      </c>
      <c r="H84" s="207"/>
      <c r="I84" s="220">
        <f t="shared" si="12"/>
        <v>3770000</v>
      </c>
      <c r="J84" s="220">
        <f t="shared" si="11"/>
        <v>152968.07999999999</v>
      </c>
      <c r="K84" s="207">
        <f>J84/I84</f>
        <v>4.0575087533156494E-2</v>
      </c>
    </row>
    <row r="85" spans="1:11" x14ac:dyDescent="0.25">
      <c r="A85" s="129" t="s">
        <v>3853</v>
      </c>
      <c r="B85" s="130" t="s">
        <v>3854</v>
      </c>
      <c r="C85" s="220">
        <f>SUMIF('ПО КОРИСНИЦИМА'!$F$17:$F$1823,'По основ. нам.'!A85,'ПО КОРИСНИЦИМА'!$H$17:$H$1823)</f>
        <v>0</v>
      </c>
      <c r="D85" s="200">
        <f>SUMIF('ПО КОРИСНИЦИМА'!$F$17:$F$1823,'По основ. нам.'!A85,'ПО КОРИСНИЦИМА'!$I$17:$I$1823)</f>
        <v>0</v>
      </c>
      <c r="E85" s="217"/>
      <c r="F85" s="220">
        <f>SUMIF('ПО КОРИСНИЦИМА'!$F$17:$F$1823,'По основ. нам.'!A85,'ПО КОРИСНИЦИМА'!$L$17:$L$1823)</f>
        <v>0</v>
      </c>
      <c r="G85" s="220">
        <f>SUMIF('ПО КОРИСНИЦИМА'!$F$17:$F$1823,'По основ. нам.'!A85,'ПО КОРИСНИЦИМА'!$M$17:$M$1823)</f>
        <v>0</v>
      </c>
      <c r="H85" s="207"/>
      <c r="I85" s="226"/>
      <c r="J85" s="226">
        <f t="shared" si="11"/>
        <v>0</v>
      </c>
      <c r="K85" s="208"/>
    </row>
    <row r="86" spans="1:11" x14ac:dyDescent="0.25">
      <c r="A86" s="129" t="s">
        <v>3855</v>
      </c>
      <c r="B86" s="130" t="s">
        <v>88</v>
      </c>
      <c r="C86" s="220">
        <f>SUMIF('ПО КОРИСНИЦИМА'!$F$17:$F$1823,'По основ. нам.'!A86,'ПО КОРИСНИЦИМА'!$H$17:$H$1823)</f>
        <v>0</v>
      </c>
      <c r="D86" s="200">
        <f>SUMIF('ПО КОРИСНИЦИМА'!$F$17:$F$1823,'По основ. нам.'!A86,'ПО КОРИСНИЦИМА'!$I$17:$I$1823)</f>
        <v>0</v>
      </c>
      <c r="E86" s="217"/>
      <c r="F86" s="220">
        <f>SUMIF('ПО КОРИСНИЦИМА'!$F$17:$F$1823,'По основ. нам.'!A86,'ПО КОРИСНИЦИМА'!$L$17:$L$1823)</f>
        <v>0</v>
      </c>
      <c r="G86" s="220">
        <f>SUMIF('ПО КОРИСНИЦИМА'!$F$17:$F$1823,'По основ. нам.'!A86,'ПО КОРИСНИЦИМА'!$M$17:$M$1823)</f>
        <v>0</v>
      </c>
      <c r="H86" s="207"/>
      <c r="I86" s="226"/>
      <c r="J86" s="226">
        <f t="shared" si="11"/>
        <v>0</v>
      </c>
      <c r="K86" s="208"/>
    </row>
    <row r="87" spans="1:11" x14ac:dyDescent="0.25">
      <c r="A87" s="110" t="s">
        <v>3856</v>
      </c>
      <c r="B87" s="111" t="s">
        <v>89</v>
      </c>
      <c r="C87" s="223">
        <f>SUMIF('ПО КОРИСНИЦИМА'!$F$17:$F$1823,'По основ. нам.'!A87,'ПО КОРИСНИЦИМА'!$H$17:$H$1823)</f>
        <v>0</v>
      </c>
      <c r="D87" s="199">
        <f>SUM(D88)</f>
        <v>0</v>
      </c>
      <c r="E87" s="216"/>
      <c r="F87" s="223">
        <f>SUM(F88)</f>
        <v>0</v>
      </c>
      <c r="G87" s="223">
        <f>SUM(G88)</f>
        <v>0</v>
      </c>
      <c r="H87" s="233"/>
      <c r="I87" s="219">
        <f>C87+F87</f>
        <v>0</v>
      </c>
      <c r="J87" s="219">
        <f t="shared" si="11"/>
        <v>0</v>
      </c>
      <c r="K87" s="206"/>
    </row>
    <row r="88" spans="1:11" x14ac:dyDescent="0.25">
      <c r="A88" s="129" t="s">
        <v>4749</v>
      </c>
      <c r="B88" s="117" t="s">
        <v>1999</v>
      </c>
      <c r="C88" s="220">
        <f>SUMIF('ПО КОРИСНИЦИМА'!$F$17:$F$1823,'По основ. нам.'!A88,'ПО КОРИСНИЦИМА'!$H$17:$H$1823)</f>
        <v>0</v>
      </c>
      <c r="D88" s="200">
        <f>SUMIF('ПО КОРИСНИЦИМА'!$F$17:$F$1823,'По основ. нам.'!A88,'ПО КОРИСНИЦИМА'!$I$17:$I$1823)</f>
        <v>0</v>
      </c>
      <c r="E88" s="217"/>
      <c r="F88" s="220">
        <f>SUMIF('ПО КОРИСНИЦИМА'!$F$17:$F$1823,'По основ. нам.'!A88,'ПО КОРИСНИЦИМА'!$L$17:$L$1823)</f>
        <v>0</v>
      </c>
      <c r="G88" s="220">
        <f>SUMIF('ПО КОРИСНИЦИМА'!$F$17:$F$1823,'По основ. нам.'!A88,'ПО КОРИСНИЦИМА'!$M$17:$M$1823)</f>
        <v>0</v>
      </c>
      <c r="H88" s="207"/>
      <c r="I88" s="241">
        <f>C88+F88</f>
        <v>0</v>
      </c>
      <c r="J88" s="241">
        <f t="shared" si="11"/>
        <v>0</v>
      </c>
      <c r="K88" s="208"/>
    </row>
    <row r="89" spans="1:11" x14ac:dyDescent="0.25">
      <c r="A89" s="131"/>
      <c r="B89" s="132" t="s">
        <v>3857</v>
      </c>
      <c r="C89" s="224">
        <f>SUM(C8,C17,C24,C30,C35,C41,C48,C50,C57,C65,C71,C76,C80,C83,C87)</f>
        <v>417859748.81</v>
      </c>
      <c r="D89" s="201">
        <f>SUM(D8,D17,D24,D30,D35,D41,D48,D50,D57,D65,D71,D76,D80,D83,D87)</f>
        <v>305780263.20999998</v>
      </c>
      <c r="E89" s="218">
        <f>D89/C89</f>
        <v>0.73177726277971233</v>
      </c>
      <c r="F89" s="224">
        <f>SUM(F8,F17,F24,F30,F35,F41,F50,F48,F57,F65,F71,F76,F80,F83,F87)</f>
        <v>106675200.67999999</v>
      </c>
      <c r="G89" s="224">
        <f>SUM(G8,G17,G24,G30,G35,G41,G50,G48,G57,G65,G71,G76,G80,G83,G87)</f>
        <v>31017932.510000002</v>
      </c>
      <c r="H89" s="234">
        <f>G89/F89</f>
        <v>0.29076985383928505</v>
      </c>
      <c r="I89" s="227">
        <f>C89+F89</f>
        <v>524534949.49000001</v>
      </c>
      <c r="J89" s="227">
        <f t="shared" si="11"/>
        <v>336798195.71999997</v>
      </c>
      <c r="K89" s="210">
        <f>J89/I89</f>
        <v>0.64208914210095136</v>
      </c>
    </row>
    <row r="90" spans="1:11" hidden="1" x14ac:dyDescent="0.25">
      <c r="A90" s="133"/>
      <c r="B90" s="133"/>
      <c r="C90" s="225">
        <f>C89-'ПО КОРИСНИЦИМА'!H1823</f>
        <v>0</v>
      </c>
      <c r="D90" s="202"/>
      <c r="E90" s="202"/>
      <c r="F90" s="225">
        <f>F89-'ПО КОРИСНИЦИМА'!L1823</f>
        <v>0</v>
      </c>
      <c r="G90" s="225"/>
      <c r="H90" s="235"/>
      <c r="I90" s="225" t="e">
        <f>Ukupno_izdaci-'ПО КОРИСНИЦИМА'!S1823</f>
        <v>#REF!</v>
      </c>
    </row>
    <row r="92" spans="1:11" hidden="1" x14ac:dyDescent="0.25">
      <c r="E92" s="1128" t="s">
        <v>5061</v>
      </c>
      <c r="F92" s="1128"/>
      <c r="I92" s="1128" t="s">
        <v>5060</v>
      </c>
      <c r="J92" s="1128"/>
    </row>
    <row r="93" spans="1:11" hidden="1" x14ac:dyDescent="0.25"/>
    <row r="94" spans="1:11" hidden="1" x14ac:dyDescent="0.25">
      <c r="E94" s="557"/>
      <c r="F94" s="557"/>
      <c r="I94" s="557"/>
      <c r="J94" s="557"/>
    </row>
    <row r="95" spans="1:11" hidden="1" x14ac:dyDescent="0.25"/>
    <row r="96" spans="1:11" hidden="1" x14ac:dyDescent="0.25">
      <c r="C96" s="203">
        <f>C89-Програмска!D616</f>
        <v>0</v>
      </c>
    </row>
  </sheetData>
  <mergeCells count="5">
    <mergeCell ref="A3:K3"/>
    <mergeCell ref="A1:I1"/>
    <mergeCell ref="A2:K2"/>
    <mergeCell ref="I92:J92"/>
    <mergeCell ref="E92:F92"/>
  </mergeCells>
  <conditionalFormatting sqref="C90 F90:I90">
    <cfRule type="cellIs" dxfId="3" priority="5" stopIfTrue="1" operator="notEqual">
      <formula>0</formula>
    </cfRule>
  </conditionalFormatting>
  <conditionalFormatting sqref="C9:C16 C18:C23 C25:C29 C31:C34 C36:C40 C42:C47 C49 C51:C56 C62:C64 C66:C70 C77:C79 C84:C86 C88 F9:H16 F18:H23 F25:H29 F31:H34 F36:H40 F42:H47 F49:H49 F51:H56 F66:H70 F72:H75 F77:H79 F84:H86 F88:H88 C72:C75 F62:H64 C81:C82 F81:H82">
    <cfRule type="expression" priority="4" stopIfTrue="1">
      <formula>NOT(ISERROR(SEARCH("411",C9)))</formula>
    </cfRule>
  </conditionalFormatting>
  <conditionalFormatting sqref="C58:C63">
    <cfRule type="expression" priority="3" stopIfTrue="1">
      <formula>NOT(ISERROR(SEARCH("411",C58)))</formula>
    </cfRule>
  </conditionalFormatting>
  <conditionalFormatting sqref="F58:H63">
    <cfRule type="expression" priority="2" stopIfTrue="1">
      <formula>NOT(ISERROR(SEARCH("411",F58)))</formula>
    </cfRule>
  </conditionalFormatting>
  <conditionalFormatting sqref="C90:I90">
    <cfRule type="cellIs" dxfId="2" priority="1" operator="notEqual">
      <formula>0</formula>
    </cfRule>
  </conditionalFormatting>
  <printOptions horizontalCentered="1"/>
  <pageMargins left="0" right="0" top="0.19685039370078741" bottom="0.19685039370078741" header="0" footer="0"/>
  <pageSetup orientation="portrait" r:id="rId1"/>
  <colBreaks count="1" manualBreakCount="1">
    <brk id="11" max="1048575" man="1"/>
  </colBreaks>
  <cellWatches>
    <cellWatch r="C90"/>
  </cellWatch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T737"/>
  <sheetViews>
    <sheetView topLeftCell="A202" workbookViewId="0">
      <selection activeCell="D745" sqref="D745"/>
    </sheetView>
  </sheetViews>
  <sheetFormatPr defaultRowHeight="12.75" x14ac:dyDescent="0.2"/>
  <cols>
    <col min="1" max="1" width="11.28515625" style="171" customWidth="1"/>
    <col min="2" max="2" width="11.7109375" style="171" customWidth="1"/>
    <col min="3" max="3" width="31.28515625" style="271" customWidth="1"/>
    <col min="4" max="4" width="16.28515625" style="187" customWidth="1"/>
    <col min="5" max="5" width="16.28515625" style="187" hidden="1" customWidth="1"/>
    <col min="6" max="6" width="10.5703125" style="187" hidden="1" customWidth="1"/>
    <col min="7" max="7" width="14.7109375" style="259" customWidth="1"/>
    <col min="8" max="8" width="14.7109375" style="259" hidden="1" customWidth="1"/>
    <col min="9" max="9" width="9.42578125" style="292" hidden="1" customWidth="1"/>
    <col min="10" max="10" width="14.42578125" style="187" customWidth="1"/>
    <col min="11" max="11" width="13.7109375" style="187" hidden="1" customWidth="1"/>
    <col min="12" max="12" width="11.85546875" style="300" hidden="1" customWidth="1"/>
    <col min="13" max="13" width="11.85546875" style="171" customWidth="1"/>
    <col min="14" max="14" width="9.140625" style="171"/>
    <col min="15" max="15" width="10.5703125" style="171" bestFit="1" customWidth="1"/>
    <col min="16" max="16384" width="9.140625" style="171"/>
  </cols>
  <sheetData>
    <row r="1" spans="1:20" ht="15" x14ac:dyDescent="0.25">
      <c r="A1" s="1139" t="s">
        <v>4896</v>
      </c>
      <c r="B1" s="1139"/>
      <c r="C1" s="1139"/>
      <c r="D1" s="1139"/>
      <c r="E1" s="1139"/>
      <c r="F1" s="1139"/>
      <c r="G1" s="1139"/>
      <c r="H1" s="1139"/>
      <c r="I1" s="1139"/>
      <c r="J1" s="1139"/>
    </row>
    <row r="2" spans="1:20" ht="12" customHeight="1" x14ac:dyDescent="0.25">
      <c r="A2" s="437"/>
      <c r="B2" s="437"/>
      <c r="C2" s="437"/>
      <c r="D2" s="437"/>
      <c r="E2" s="437"/>
      <c r="F2" s="437"/>
      <c r="G2" s="437"/>
      <c r="H2" s="437"/>
      <c r="I2" s="437"/>
      <c r="J2" s="437"/>
    </row>
    <row r="3" spans="1:20" ht="15" x14ac:dyDescent="0.2">
      <c r="A3" s="1154" t="s">
        <v>5524</v>
      </c>
      <c r="B3" s="1154"/>
      <c r="C3" s="1154"/>
      <c r="D3" s="1154"/>
      <c r="E3" s="1154"/>
      <c r="F3" s="1154"/>
      <c r="G3" s="1154"/>
      <c r="H3" s="1154"/>
      <c r="I3" s="1154"/>
      <c r="J3" s="1154"/>
      <c r="K3" s="1154"/>
      <c r="L3" s="1154"/>
      <c r="M3" s="1154"/>
      <c r="N3" s="1154"/>
      <c r="O3" s="1154"/>
      <c r="P3" s="1154"/>
    </row>
    <row r="4" spans="1:20" ht="10.5" customHeight="1" x14ac:dyDescent="0.25">
      <c r="A4" s="579"/>
      <c r="B4" s="579"/>
      <c r="C4" s="579"/>
      <c r="D4" s="579"/>
      <c r="E4" s="579"/>
      <c r="F4" s="579"/>
      <c r="G4" s="579"/>
      <c r="H4" s="579"/>
      <c r="I4" s="579"/>
      <c r="J4" s="579"/>
    </row>
    <row r="5" spans="1:20" ht="15" x14ac:dyDescent="0.25">
      <c r="A5" s="1126" t="s">
        <v>5532</v>
      </c>
      <c r="B5" s="1126"/>
      <c r="C5" s="1126"/>
      <c r="D5" s="1126"/>
      <c r="E5" s="1126"/>
      <c r="F5" s="1126"/>
      <c r="G5" s="1126"/>
      <c r="H5" s="1126"/>
      <c r="I5" s="1126"/>
      <c r="J5" s="1126"/>
    </row>
    <row r="6" spans="1:20" ht="15" x14ac:dyDescent="0.25">
      <c r="A6" s="1085" t="s">
        <v>5541</v>
      </c>
      <c r="B6" s="438"/>
      <c r="C6" s="438"/>
      <c r="D6" s="438"/>
      <c r="E6" s="438"/>
      <c r="F6" s="438"/>
      <c r="G6" s="438"/>
      <c r="H6" s="438"/>
      <c r="I6" s="438"/>
      <c r="J6" s="438"/>
    </row>
    <row r="7" spans="1:20" ht="15.75" hidden="1" x14ac:dyDescent="0.25">
      <c r="A7" s="1153" t="s">
        <v>5070</v>
      </c>
      <c r="B7" s="1153"/>
      <c r="C7" s="1153"/>
      <c r="D7" s="1153"/>
      <c r="E7" s="1153"/>
      <c r="F7" s="1153"/>
      <c r="G7" s="1153"/>
      <c r="H7" s="1153"/>
      <c r="I7" s="1153"/>
      <c r="J7" s="1153"/>
      <c r="K7" s="1153"/>
      <c r="L7" s="1153"/>
    </row>
    <row r="8" spans="1:20" ht="26.25" hidden="1" customHeight="1" x14ac:dyDescent="0.2">
      <c r="A8" s="1144" t="s">
        <v>5078</v>
      </c>
      <c r="B8" s="1144"/>
      <c r="C8" s="1144"/>
      <c r="D8" s="1144"/>
      <c r="E8" s="1144"/>
      <c r="F8" s="1144"/>
      <c r="G8" s="1144"/>
      <c r="H8" s="1144"/>
      <c r="I8" s="1144"/>
      <c r="J8" s="1144"/>
      <c r="K8" s="1144"/>
      <c r="L8" s="1144"/>
    </row>
    <row r="9" spans="1:20" ht="15" customHeight="1" x14ac:dyDescent="0.2">
      <c r="A9" s="1158" t="s">
        <v>3606</v>
      </c>
      <c r="B9" s="1157"/>
      <c r="C9" s="1159" t="s">
        <v>4101</v>
      </c>
      <c r="D9" s="1143" t="s">
        <v>25</v>
      </c>
      <c r="E9" s="1147" t="s">
        <v>4808</v>
      </c>
      <c r="F9" s="1147" t="s">
        <v>4753</v>
      </c>
      <c r="G9" s="1142" t="s">
        <v>3762</v>
      </c>
      <c r="H9" s="1145" t="s">
        <v>4814</v>
      </c>
      <c r="I9" s="1151" t="s">
        <v>4753</v>
      </c>
      <c r="J9" s="1143" t="s">
        <v>3763</v>
      </c>
      <c r="K9" s="1147" t="s">
        <v>4815</v>
      </c>
      <c r="L9" s="1149" t="s">
        <v>4753</v>
      </c>
    </row>
    <row r="10" spans="1:20" ht="41.25" customHeight="1" x14ac:dyDescent="0.2">
      <c r="A10" s="172" t="s">
        <v>4042</v>
      </c>
      <c r="B10" s="172" t="s">
        <v>4100</v>
      </c>
      <c r="C10" s="1159"/>
      <c r="D10" s="1143"/>
      <c r="E10" s="1148"/>
      <c r="F10" s="1148"/>
      <c r="G10" s="1142"/>
      <c r="H10" s="1146"/>
      <c r="I10" s="1152"/>
      <c r="J10" s="1143"/>
      <c r="K10" s="1148"/>
      <c r="L10" s="1150"/>
    </row>
    <row r="11" spans="1:20" s="581" customFormat="1" x14ac:dyDescent="0.2">
      <c r="A11" s="582" t="s">
        <v>3764</v>
      </c>
      <c r="B11" s="582" t="s">
        <v>4043</v>
      </c>
      <c r="C11" s="582" t="s">
        <v>4113</v>
      </c>
      <c r="D11" s="583">
        <v>4</v>
      </c>
      <c r="E11" s="583"/>
      <c r="F11" s="583"/>
      <c r="G11" s="582">
        <v>6</v>
      </c>
      <c r="H11" s="582"/>
      <c r="I11" s="582"/>
      <c r="J11" s="583">
        <v>7</v>
      </c>
      <c r="K11" s="580"/>
      <c r="L11" s="580"/>
      <c r="T11" s="604"/>
    </row>
    <row r="12" spans="1:20" ht="25.5" x14ac:dyDescent="0.2">
      <c r="A12" s="173" t="s">
        <v>3561</v>
      </c>
      <c r="B12" s="174"/>
      <c r="C12" s="260" t="s">
        <v>5226</v>
      </c>
      <c r="D12" s="275">
        <f>SUM(D13:D39)</f>
        <v>4628545</v>
      </c>
      <c r="E12" s="275">
        <f t="shared" ref="E12:L12" si="0">SUM(E13:E39)</f>
        <v>220000</v>
      </c>
      <c r="F12" s="277">
        <f t="shared" si="0"/>
        <v>0.73333333333333328</v>
      </c>
      <c r="G12" s="276">
        <f t="shared" si="0"/>
        <v>8291120.1600000001</v>
      </c>
      <c r="H12" s="276">
        <f t="shared" si="0"/>
        <v>0</v>
      </c>
      <c r="I12" s="284"/>
      <c r="J12" s="275">
        <f t="shared" si="0"/>
        <v>12919665.16</v>
      </c>
      <c r="K12" s="275">
        <f t="shared" si="0"/>
        <v>220000</v>
      </c>
      <c r="L12" s="277">
        <f t="shared" si="0"/>
        <v>0.73333333333333328</v>
      </c>
    </row>
    <row r="13" spans="1:20" ht="25.5" x14ac:dyDescent="0.2">
      <c r="A13" s="175"/>
      <c r="B13" s="175" t="s">
        <v>4220</v>
      </c>
      <c r="C13" s="261" t="s">
        <v>5109</v>
      </c>
      <c r="D13" s="244">
        <f>SUMIF('ПО КОРИСНИЦИМА'!$G$16:$G$1823,"Свега за програмску активност 1101-0001:",'ПО КОРИСНИЦИМА'!$H$16:$H$1823)</f>
        <v>300000</v>
      </c>
      <c r="E13" s="244">
        <f>SUMIF('ПО КОРИСНИЦИМА'!$G$16:$G$1823,"Свега за програмску активност 1101-0001:",'ПО КОРИСНИЦИМА'!$I$16:$I$1823)</f>
        <v>220000</v>
      </c>
      <c r="F13" s="278">
        <f>E13/D13</f>
        <v>0.73333333333333328</v>
      </c>
      <c r="G13" s="245">
        <f>SUMIF('ПО КОРИСНИЦИМА'!$G$16:$G$1823,"Свега за програмску активност 1101-0001:",'ПО КОРИСНИЦИМА'!$L$16:$L$1823)</f>
        <v>0</v>
      </c>
      <c r="H13" s="245">
        <v>0</v>
      </c>
      <c r="I13" s="285"/>
      <c r="J13" s="244">
        <f>D13+G13</f>
        <v>300000</v>
      </c>
      <c r="K13" s="244">
        <f>E13+H13</f>
        <v>220000</v>
      </c>
      <c r="L13" s="278">
        <f>K13/J13</f>
        <v>0.73333333333333328</v>
      </c>
      <c r="R13" s="602"/>
    </row>
    <row r="14" spans="1:20" ht="25.5" hidden="1" customHeight="1" x14ac:dyDescent="0.2">
      <c r="A14" s="177"/>
      <c r="B14" s="177" t="s">
        <v>4221</v>
      </c>
      <c r="C14" s="262" t="s">
        <v>4044</v>
      </c>
      <c r="D14" s="246">
        <f>SUMIF('ПО КОРИСНИЦИМА'!$G$16:$G$1823,"Свега за програмску активност 1101-0002:",'ПО КОРИСНИЦИМА'!$H$16:$H$1823)</f>
        <v>0</v>
      </c>
      <c r="E14" s="246"/>
      <c r="F14" s="279"/>
      <c r="G14" s="247">
        <f>SUMIF('ПО КОРИСНИЦИМА'!$G$16:$G$1823,"Свега за програмску активност 1101-0002:",'ПО КОРИСНИЦИМА'!$L$16:$L$1823)</f>
        <v>0</v>
      </c>
      <c r="H14" s="247"/>
      <c r="I14" s="286"/>
      <c r="J14" s="246">
        <f t="shared" ref="J14:J50" si="1">D14+G14</f>
        <v>0</v>
      </c>
      <c r="K14" s="246"/>
      <c r="L14" s="279"/>
    </row>
    <row r="15" spans="1:20" ht="25.5" x14ac:dyDescent="0.2">
      <c r="A15" s="417"/>
      <c r="B15" s="177" t="s">
        <v>5184</v>
      </c>
      <c r="C15" s="564" t="s">
        <v>5185</v>
      </c>
      <c r="D15" s="420">
        <f>SUMIF('ПО КОРИСНИЦИМА'!$G$16:$G$1823,"Свега за програмску активност 1101-0005:",'ПО КОРИСНИЦИМА'!$H$16:$H$1823)</f>
        <v>4328545</v>
      </c>
      <c r="E15" s="420">
        <f>SUMIF('ПО КОРИСНИЦИМА'!$G$16:$G$1823,"Свега за програмску активност 1101-0005:",'ПО КОРИСНИЦИМА'!$I$16:$I$1823)</f>
        <v>0</v>
      </c>
      <c r="F15" s="421">
        <f>E15/D15</f>
        <v>0</v>
      </c>
      <c r="G15" s="422">
        <f>SUMIF('ПО КОРИСНИЦИМА'!$G$16:$G$1823,"Свега за програмску активност 1101-0005:",'ПО КОРИСНИЦИМА'!$L$16:$L$1823)</f>
        <v>8291120.1600000001</v>
      </c>
      <c r="H15" s="422">
        <v>0</v>
      </c>
      <c r="I15" s="423"/>
      <c r="J15" s="420">
        <f>D15+G15</f>
        <v>12619665.16</v>
      </c>
      <c r="K15" s="420">
        <f>E15+H15</f>
        <v>0</v>
      </c>
      <c r="L15" s="421">
        <f>K15/J15</f>
        <v>0</v>
      </c>
    </row>
    <row r="16" spans="1:20" hidden="1" x14ac:dyDescent="0.2">
      <c r="A16" s="177"/>
      <c r="B16" s="177" t="s">
        <v>4222</v>
      </c>
      <c r="C16" s="262" t="str">
        <f>IFERROR(VLOOKUP(B16,'ПО КОРИСНИЦИМА'!$C$16:$S$1823,5,FALSE),"")</f>
        <v>Уређење трга у Владимирцима</v>
      </c>
      <c r="D16" s="248">
        <f>SUMIF('ПО КОРИСНИЦИМА'!$G$16:$G$1823,"Свега за пројекат 1101-П1:",'ПО КОРИСНИЦИМА'!$H$16:$H$1823)</f>
        <v>0</v>
      </c>
      <c r="E16" s="248">
        <f>SUMIF('ПО КОРИСНИЦИМА'!$G$16:$G$1823,"Свега за пројекат 1101-П1:",'ПО КОРИСНИЦИМА'!$I$16:$I$1823)</f>
        <v>0</v>
      </c>
      <c r="F16" s="280"/>
      <c r="G16" s="249">
        <f>SUMIF('ПО КОРИСНИЦИМА'!$G$16:$G$1823,"Свега за пројекат 1101-П1:",'ПО КОРИСНИЦИМА'!$L$16:$L$1823)</f>
        <v>0</v>
      </c>
      <c r="H16" s="249"/>
      <c r="I16" s="287"/>
      <c r="J16" s="246">
        <f t="shared" si="1"/>
        <v>0</v>
      </c>
      <c r="K16" s="246"/>
      <c r="L16" s="279"/>
    </row>
    <row r="17" spans="1:12" hidden="1" x14ac:dyDescent="0.2">
      <c r="A17" s="177"/>
      <c r="B17" s="177" t="s">
        <v>4223</v>
      </c>
      <c r="C17" s="262" t="str">
        <f>IFERROR(VLOOKUP(B17,'ПО КОРИСНИЦИМА'!$C$16:$S$1823,5,FALSE),"")</f>
        <v/>
      </c>
      <c r="D17" s="248">
        <f>SUMIF('ПО КОРИСНИЦИМА'!$G$16:$G$1823,"Свега за пројекат 1101-П2:",'ПО КОРИСНИЦИМА'!$H$16:$H$1823)</f>
        <v>0</v>
      </c>
      <c r="E17" s="248"/>
      <c r="F17" s="280"/>
      <c r="G17" s="249">
        <f>SUMIF('ПО КОРИСНИЦИМА'!$G$16:$G$1823,"Свега за пројекат 1101-П2:",'ПО КОРИСНИЦИМА'!$L$16:$L$1823)</f>
        <v>0</v>
      </c>
      <c r="H17" s="249"/>
      <c r="I17" s="287"/>
      <c r="J17" s="246">
        <f t="shared" si="1"/>
        <v>0</v>
      </c>
      <c r="K17" s="246"/>
      <c r="L17" s="279"/>
    </row>
    <row r="18" spans="1:12" hidden="1" x14ac:dyDescent="0.2">
      <c r="A18" s="177"/>
      <c r="B18" s="177" t="s">
        <v>4224</v>
      </c>
      <c r="C18" s="262" t="str">
        <f>IFERROR(VLOOKUP(B18,'ПО КОРИСНИЦИМА'!$C$16:$S$1823,5,FALSE),"")</f>
        <v/>
      </c>
      <c r="D18" s="248">
        <f>SUMIF('ПО КОРИСНИЦИМА'!$G$16:$G$1823,"Свега за пројекат 1101-П3:",'ПО КОРИСНИЦИМА'!$H$16:$H$1823)</f>
        <v>0</v>
      </c>
      <c r="E18" s="248"/>
      <c r="F18" s="280"/>
      <c r="G18" s="249">
        <f>SUMIF('ПО КОРИСНИЦИМА'!$G$16:$G$1823,"Свега за пројекат 1101-П3:",'ПО КОРИСНИЦИМА'!$L$16:$L$1823)</f>
        <v>0</v>
      </c>
      <c r="H18" s="249"/>
      <c r="I18" s="287"/>
      <c r="J18" s="246">
        <f t="shared" si="1"/>
        <v>0</v>
      </c>
      <c r="K18" s="246"/>
      <c r="L18" s="279"/>
    </row>
    <row r="19" spans="1:12" hidden="1" x14ac:dyDescent="0.2">
      <c r="A19" s="177"/>
      <c r="B19" s="177" t="s">
        <v>4225</v>
      </c>
      <c r="C19" s="262" t="str">
        <f>IFERROR(VLOOKUP(B19,'ПО КОРИСНИЦИМА'!$C$16:$S$1823,5,FALSE),"")</f>
        <v/>
      </c>
      <c r="D19" s="248">
        <f>SUMIF('ПО КОРИСНИЦИМА'!$G$16:$G$1823,"Свега за пројекат 1101-П4:",'ПО КОРИСНИЦИМА'!$H$16:$H$1823)</f>
        <v>0</v>
      </c>
      <c r="E19" s="248"/>
      <c r="F19" s="280"/>
      <c r="G19" s="249">
        <f>SUMIF('ПО КОРИСНИЦИМА'!$G$16:$G$1823,"Свега за пројекат 1101-П4:",'ПО КОРИСНИЦИМА'!$L$16:$L$1823)</f>
        <v>0</v>
      </c>
      <c r="H19" s="249"/>
      <c r="I19" s="287"/>
      <c r="J19" s="246">
        <f t="shared" si="1"/>
        <v>0</v>
      </c>
      <c r="K19" s="246"/>
      <c r="L19" s="279"/>
    </row>
    <row r="20" spans="1:12" hidden="1" x14ac:dyDescent="0.2">
      <c r="A20" s="177"/>
      <c r="B20" s="177" t="s">
        <v>4226</v>
      </c>
      <c r="C20" s="262" t="str">
        <f>IFERROR(VLOOKUP(B20,'ПО КОРИСНИЦИМА'!$C$16:$S$1823,5,FALSE),"")</f>
        <v/>
      </c>
      <c r="D20" s="248">
        <f>SUMIF('ПО КОРИСНИЦИМА'!$G$16:$G$1823,"Свега за пројекат 1101-П5:",'ПО КОРИСНИЦИМА'!$H$16:$H$1823)</f>
        <v>0</v>
      </c>
      <c r="E20" s="248"/>
      <c r="F20" s="280"/>
      <c r="G20" s="249">
        <f>SUMIF('ПО КОРИСНИЦИМА'!$G$16:$G$1823,"Свега за пројекат 1101-П5:",'ПО КОРИСНИЦИМА'!$L$16:$L$1823)</f>
        <v>0</v>
      </c>
      <c r="H20" s="249"/>
      <c r="I20" s="287"/>
      <c r="J20" s="246">
        <f t="shared" si="1"/>
        <v>0</v>
      </c>
      <c r="K20" s="246"/>
      <c r="L20" s="279"/>
    </row>
    <row r="21" spans="1:12" hidden="1" x14ac:dyDescent="0.2">
      <c r="A21" s="177"/>
      <c r="B21" s="177" t="s">
        <v>4227</v>
      </c>
      <c r="C21" s="262" t="str">
        <f>IFERROR(VLOOKUP(B21,'ПО КОРИСНИЦИМА'!$C$16:$S$1823,5,FALSE),"")</f>
        <v/>
      </c>
      <c r="D21" s="248">
        <f>SUMIF('ПО КОРИСНИЦИМА'!$G$16:$G$1823,"Свега за пројекат 1101-П6:",'ПО КОРИСНИЦИМА'!$H$16:$H$1823)</f>
        <v>0</v>
      </c>
      <c r="E21" s="248"/>
      <c r="F21" s="280"/>
      <c r="G21" s="249">
        <f>SUMIF('ПО КОРИСНИЦИМА'!$G$16:$G$1823,"Свега за пројекат 1101-П6:",'ПО КОРИСНИЦИМА'!$L$16:$L$1823)</f>
        <v>0</v>
      </c>
      <c r="H21" s="249"/>
      <c r="I21" s="287"/>
      <c r="J21" s="246">
        <f t="shared" si="1"/>
        <v>0</v>
      </c>
      <c r="K21" s="246"/>
      <c r="L21" s="279"/>
    </row>
    <row r="22" spans="1:12" hidden="1" x14ac:dyDescent="0.2">
      <c r="A22" s="177"/>
      <c r="B22" s="177" t="s">
        <v>4228</v>
      </c>
      <c r="C22" s="262" t="str">
        <f>IFERROR(VLOOKUP(B22,'ПО КОРИСНИЦИМА'!$C$16:$S$1823,5,FALSE),"")</f>
        <v/>
      </c>
      <c r="D22" s="248">
        <f>SUMIF('ПО КОРИСНИЦИМА'!$G$16:$G$1823,"Свега за пројекат 1101-П7:",'ПО КОРИСНИЦИМА'!$H$16:$H$1823)</f>
        <v>0</v>
      </c>
      <c r="E22" s="248"/>
      <c r="F22" s="280"/>
      <c r="G22" s="249">
        <f>SUMIF('ПО КОРИСНИЦИМА'!$G$16:$G$1823,"Свега за пројекат 1101-П7:",'ПО КОРИСНИЦИМА'!$L$16:$L$1823)</f>
        <v>0</v>
      </c>
      <c r="H22" s="249"/>
      <c r="I22" s="287"/>
      <c r="J22" s="246">
        <f t="shared" si="1"/>
        <v>0</v>
      </c>
      <c r="K22" s="246"/>
      <c r="L22" s="279"/>
    </row>
    <row r="23" spans="1:12" hidden="1" x14ac:dyDescent="0.2">
      <c r="A23" s="177"/>
      <c r="B23" s="177" t="s">
        <v>4229</v>
      </c>
      <c r="C23" s="262" t="str">
        <f>IFERROR(VLOOKUP(B23,'ПО КОРИСНИЦИМА'!$C$16:$S$1823,5,FALSE),"")</f>
        <v/>
      </c>
      <c r="D23" s="248">
        <f>SUMIF('ПО КОРИСНИЦИМА'!$G$16:$G$1823,"Свега за пројекат 1101-П8:",'ПО КОРИСНИЦИМА'!$H$16:$H$1823)</f>
        <v>0</v>
      </c>
      <c r="E23" s="248"/>
      <c r="F23" s="280"/>
      <c r="G23" s="249">
        <f>SUMIF('ПО КОРИСНИЦИМА'!$G$16:$G$1823,"Свега за пројекат 1101-П8:",'ПО КОРИСНИЦИМА'!$L$16:$L$1823)</f>
        <v>0</v>
      </c>
      <c r="H23" s="249"/>
      <c r="I23" s="287"/>
      <c r="J23" s="246">
        <f t="shared" si="1"/>
        <v>0</v>
      </c>
      <c r="K23" s="246"/>
      <c r="L23" s="279"/>
    </row>
    <row r="24" spans="1:12" hidden="1" x14ac:dyDescent="0.2">
      <c r="A24" s="177"/>
      <c r="B24" s="177" t="s">
        <v>4230</v>
      </c>
      <c r="C24" s="262" t="str">
        <f>IFERROR(VLOOKUP(B24,'ПО КОРИСНИЦИМА'!$C$16:$S$1823,5,FALSE),"")</f>
        <v/>
      </c>
      <c r="D24" s="248">
        <f>SUMIF('ПО КОРИСНИЦИМА'!$G$16:$G$1823,"Свега за пројекат 1101-П9:",'ПО КОРИСНИЦИМА'!$H$16:$H$1823)</f>
        <v>0</v>
      </c>
      <c r="E24" s="248"/>
      <c r="F24" s="280"/>
      <c r="G24" s="249">
        <f>SUMIF('ПО КОРИСНИЦИМА'!$G$16:$G$1823,"Свега за пројекат 1101-П9:",'ПО КОРИСНИЦИМА'!$L$16:$L$1823)</f>
        <v>0</v>
      </c>
      <c r="H24" s="249"/>
      <c r="I24" s="287"/>
      <c r="J24" s="246">
        <f t="shared" si="1"/>
        <v>0</v>
      </c>
      <c r="K24" s="246"/>
      <c r="L24" s="279"/>
    </row>
    <row r="25" spans="1:12" hidden="1" x14ac:dyDescent="0.2">
      <c r="A25" s="177"/>
      <c r="B25" s="177" t="s">
        <v>4231</v>
      </c>
      <c r="C25" s="262" t="str">
        <f>IFERROR(VLOOKUP(B25,'ПО КОРИСНИЦИМА'!$C$16:$S$1823,5,FALSE),"")</f>
        <v/>
      </c>
      <c r="D25" s="248">
        <f>SUMIF('ПО КОРИСНИЦИМА'!$G$16:$G$1823,"Свега за пројекат 1101-П10:",'ПО КОРИСНИЦИМА'!$H$16:$H$1823)</f>
        <v>0</v>
      </c>
      <c r="E25" s="248"/>
      <c r="F25" s="280"/>
      <c r="G25" s="249">
        <f>SUMIF('ПО КОРИСНИЦИМА'!$G$16:$G$1823,"Свега за пројекат 1101-П10:",'ПО КОРИСНИЦИМА'!$L$16:$L$1823)</f>
        <v>0</v>
      </c>
      <c r="H25" s="249"/>
      <c r="I25" s="287"/>
      <c r="J25" s="246">
        <f t="shared" si="1"/>
        <v>0</v>
      </c>
      <c r="K25" s="246"/>
      <c r="L25" s="279"/>
    </row>
    <row r="26" spans="1:12" hidden="1" x14ac:dyDescent="0.2">
      <c r="A26" s="177"/>
      <c r="B26" s="177" t="s">
        <v>4232</v>
      </c>
      <c r="C26" s="262" t="str">
        <f>IFERROR(VLOOKUP(B26,'ПО КОРИСНИЦИМА'!$C$16:$S$1823,5,FALSE),"")</f>
        <v/>
      </c>
      <c r="D26" s="248">
        <f>SUMIF('ПО КОРИСНИЦИМА'!$G$16:$G$1823,"Свега за пројекат 1101-П11:",'ПО КОРИСНИЦИМА'!$H$16:$H$1823)</f>
        <v>0</v>
      </c>
      <c r="E26" s="248"/>
      <c r="F26" s="280"/>
      <c r="G26" s="249">
        <f>SUMIF('ПО КОРИСНИЦИМА'!$G$16:$G$1823,"Свега за пројекат 1101-П11:",'ПО КОРИСНИЦИМА'!$L$16:$L$1823)</f>
        <v>0</v>
      </c>
      <c r="H26" s="249"/>
      <c r="I26" s="287"/>
      <c r="J26" s="246">
        <f t="shared" si="1"/>
        <v>0</v>
      </c>
      <c r="K26" s="246"/>
      <c r="L26" s="279"/>
    </row>
    <row r="27" spans="1:12" hidden="1" x14ac:dyDescent="0.2">
      <c r="A27" s="177"/>
      <c r="B27" s="177" t="s">
        <v>4233</v>
      </c>
      <c r="C27" s="262" t="str">
        <f>IFERROR(VLOOKUP(B27,'ПО КОРИСНИЦИМА'!$C$16:$S$1823,5,FALSE),"")</f>
        <v/>
      </c>
      <c r="D27" s="248">
        <f>SUMIF('ПО КОРИСНИЦИМА'!$G$16:$G$1823,"Свега за пројекат 1101-П12:",'ПО КОРИСНИЦИМА'!$H$16:$H$1823)</f>
        <v>0</v>
      </c>
      <c r="E27" s="248"/>
      <c r="F27" s="280"/>
      <c r="G27" s="249">
        <f>SUMIF('ПО КОРИСНИЦИМА'!$G$16:$G$1823,"Свега за пројекат 1101-П12:",'ПО КОРИСНИЦИМА'!$L$16:$L$1823)</f>
        <v>0</v>
      </c>
      <c r="H27" s="249"/>
      <c r="I27" s="287"/>
      <c r="J27" s="246">
        <f t="shared" si="1"/>
        <v>0</v>
      </c>
      <c r="K27" s="246"/>
      <c r="L27" s="279"/>
    </row>
    <row r="28" spans="1:12" hidden="1" x14ac:dyDescent="0.2">
      <c r="A28" s="177"/>
      <c r="B28" s="177" t="s">
        <v>4234</v>
      </c>
      <c r="C28" s="262" t="str">
        <f>IFERROR(VLOOKUP(B28,'ПО КОРИСНИЦИМА'!$C$16:$S$1823,5,FALSE),"")</f>
        <v/>
      </c>
      <c r="D28" s="248">
        <f>SUMIF('ПО КОРИСНИЦИМА'!$G$16:$G$1823,"Свега за пројекат 1101-П13:",'ПО КОРИСНИЦИМА'!$H$16:$H$1823)</f>
        <v>0</v>
      </c>
      <c r="E28" s="248"/>
      <c r="F28" s="280"/>
      <c r="G28" s="249">
        <f>SUMIF('ПО КОРИСНИЦИМА'!$G$16:$G$1823,"Свега за пројекат 1101-П13:",'ПО КОРИСНИЦИМА'!$L$16:$L$1823)</f>
        <v>0</v>
      </c>
      <c r="H28" s="249"/>
      <c r="I28" s="287"/>
      <c r="J28" s="246">
        <f t="shared" si="1"/>
        <v>0</v>
      </c>
      <c r="K28" s="246"/>
      <c r="L28" s="279"/>
    </row>
    <row r="29" spans="1:12" hidden="1" x14ac:dyDescent="0.2">
      <c r="A29" s="177"/>
      <c r="B29" s="177" t="s">
        <v>4235</v>
      </c>
      <c r="C29" s="262" t="str">
        <f>IFERROR(VLOOKUP(B29,'ПО КОРИСНИЦИМА'!$C$16:$S$1823,5,FALSE),"")</f>
        <v/>
      </c>
      <c r="D29" s="248">
        <f>SUMIF('ПО КОРИСНИЦИМА'!$G$16:$G$1823,"Свега за пројекат 1101-П14:",'ПО КОРИСНИЦИМА'!$H$16:$H$1823)</f>
        <v>0</v>
      </c>
      <c r="E29" s="248"/>
      <c r="F29" s="280"/>
      <c r="G29" s="249">
        <f>SUMIF('ПО КОРИСНИЦИМА'!$G$16:$G$1823,"Свега за пројекат 1101-П14:",'ПО КОРИСНИЦИМА'!$L$16:$L$1823)</f>
        <v>0</v>
      </c>
      <c r="H29" s="249"/>
      <c r="I29" s="287"/>
      <c r="J29" s="246">
        <f t="shared" si="1"/>
        <v>0</v>
      </c>
      <c r="K29" s="246"/>
      <c r="L29" s="279"/>
    </row>
    <row r="30" spans="1:12" hidden="1" x14ac:dyDescent="0.2">
      <c r="A30" s="177"/>
      <c r="B30" s="177" t="s">
        <v>4236</v>
      </c>
      <c r="C30" s="262" t="str">
        <f>IFERROR(VLOOKUP(B30,'ПО КОРИСНИЦИМА'!$C$16:$S$1823,5,FALSE),"")</f>
        <v/>
      </c>
      <c r="D30" s="248">
        <f>SUMIF('ПО КОРИСНИЦИМА'!$G$16:$G$1823,"Свега за пројекат 1101-П15:",'ПО КОРИСНИЦИМА'!$H$16:$H$1823)</f>
        <v>0</v>
      </c>
      <c r="E30" s="248"/>
      <c r="F30" s="280"/>
      <c r="G30" s="249">
        <f>SUMIF('ПО КОРИСНИЦИМА'!$G$16:$G$1823,"Свега за пројекат 1101-П15:",'ПО КОРИСНИЦИМА'!$L$16:$L$1823)</f>
        <v>0</v>
      </c>
      <c r="H30" s="249"/>
      <c r="I30" s="287"/>
      <c r="J30" s="246">
        <f t="shared" si="1"/>
        <v>0</v>
      </c>
      <c r="K30" s="246"/>
      <c r="L30" s="279"/>
    </row>
    <row r="31" spans="1:12" hidden="1" x14ac:dyDescent="0.2">
      <c r="A31" s="177"/>
      <c r="B31" s="177" t="s">
        <v>4237</v>
      </c>
      <c r="C31" s="262" t="str">
        <f>IFERROR(VLOOKUP(B31,'ПО КОРИСНИЦИМА'!$C$16:$S$1823,5,FALSE),"")</f>
        <v/>
      </c>
      <c r="D31" s="248">
        <f>SUMIF('ПО КОРИСНИЦИМА'!$G$16:$G$1823,"Свега за пројекат 1101-П16:",'ПО КОРИСНИЦИМА'!$H$16:$H$1823)</f>
        <v>0</v>
      </c>
      <c r="E31" s="248"/>
      <c r="F31" s="280"/>
      <c r="G31" s="249">
        <f>SUMIF('ПО КОРИСНИЦИМА'!$G$16:$G$1823,"Свега за пројекат 1101-П16:",'ПО КОРИСНИЦИМА'!$L$16:$L$1823)</f>
        <v>0</v>
      </c>
      <c r="H31" s="249"/>
      <c r="I31" s="287"/>
      <c r="J31" s="246">
        <f t="shared" si="1"/>
        <v>0</v>
      </c>
      <c r="K31" s="246"/>
      <c r="L31" s="279"/>
    </row>
    <row r="32" spans="1:12" hidden="1" x14ac:dyDescent="0.2">
      <c r="A32" s="177"/>
      <c r="B32" s="177" t="s">
        <v>4238</v>
      </c>
      <c r="C32" s="262" t="str">
        <f>IFERROR(VLOOKUP(B32,'ПО КОРИСНИЦИМА'!$C$16:$S$1823,5,FALSE),"")</f>
        <v/>
      </c>
      <c r="D32" s="248">
        <f>SUMIF('ПО КОРИСНИЦИМА'!$G$16:$G$1823,"Свега за пројекат 1101-П17:",'ПО КОРИСНИЦИМА'!$H$16:$H$1823)</f>
        <v>0</v>
      </c>
      <c r="E32" s="248"/>
      <c r="F32" s="280"/>
      <c r="G32" s="249">
        <f>SUMIF('ПО КОРИСНИЦИМА'!$G$16:$G$1823,"Свега за пројекат 1101-П17:",'ПО КОРИСНИЦИМА'!$L$16:$L$1823)</f>
        <v>0</v>
      </c>
      <c r="H32" s="249"/>
      <c r="I32" s="287"/>
      <c r="J32" s="246">
        <f t="shared" si="1"/>
        <v>0</v>
      </c>
      <c r="K32" s="246"/>
      <c r="L32" s="279"/>
    </row>
    <row r="33" spans="1:12" hidden="1" x14ac:dyDescent="0.2">
      <c r="A33" s="177"/>
      <c r="B33" s="177" t="s">
        <v>4239</v>
      </c>
      <c r="C33" s="262" t="str">
        <f>IFERROR(VLOOKUP(B33,'ПО КОРИСНИЦИМА'!$C$16:$S$1823,5,FALSE),"")</f>
        <v/>
      </c>
      <c r="D33" s="248">
        <f>SUMIF('ПО КОРИСНИЦИМА'!$G$16:$G$1823,"Свега за пројекат 1101-П18:",'ПО КОРИСНИЦИМА'!$H$16:$H$1823)</f>
        <v>0</v>
      </c>
      <c r="E33" s="248"/>
      <c r="F33" s="280"/>
      <c r="G33" s="249">
        <f>SUMIF('ПО КОРИСНИЦИМА'!$G$16:$G$1823,"Свега за пројекат 1101-П18:",'ПО КОРИСНИЦИМА'!$L$16:$L$1823)</f>
        <v>0</v>
      </c>
      <c r="H33" s="249"/>
      <c r="I33" s="287"/>
      <c r="J33" s="246">
        <f t="shared" si="1"/>
        <v>0</v>
      </c>
      <c r="K33" s="246"/>
      <c r="L33" s="279"/>
    </row>
    <row r="34" spans="1:12" hidden="1" x14ac:dyDescent="0.2">
      <c r="A34" s="177"/>
      <c r="B34" s="177" t="s">
        <v>4240</v>
      </c>
      <c r="C34" s="262" t="str">
        <f>IFERROR(VLOOKUP(B34,'ПО КОРИСНИЦИМА'!$C$16:$S$1823,5,FALSE),"")</f>
        <v/>
      </c>
      <c r="D34" s="248">
        <f>SUMIF('ПО КОРИСНИЦИМА'!$G$16:$G$1823,"Свега за пројекат 1101-П19:",'ПО КОРИСНИЦИМА'!$H$16:$H$1823)</f>
        <v>0</v>
      </c>
      <c r="E34" s="248"/>
      <c r="F34" s="280"/>
      <c r="G34" s="249">
        <f>SUMIF('ПО КОРИСНИЦИМА'!$G$16:$G$1823,"Свега за пројекат 1101-П19:",'ПО КОРИСНИЦИМА'!$L$16:$L$1823)</f>
        <v>0</v>
      </c>
      <c r="H34" s="249"/>
      <c r="I34" s="287"/>
      <c r="J34" s="246">
        <f t="shared" si="1"/>
        <v>0</v>
      </c>
      <c r="K34" s="246"/>
      <c r="L34" s="279"/>
    </row>
    <row r="35" spans="1:12" hidden="1" x14ac:dyDescent="0.2">
      <c r="A35" s="177"/>
      <c r="B35" s="177" t="s">
        <v>4241</v>
      </c>
      <c r="C35" s="262" t="str">
        <f>IFERROR(VLOOKUP(B35,'ПО КОРИСНИЦИМА'!$C$16:$S$1823,5,FALSE),"")</f>
        <v/>
      </c>
      <c r="D35" s="248">
        <f>SUMIF('ПО КОРИСНИЦИМА'!$G$16:$G$1823,"Свега за пројекат 1101-П20:",'ПО КОРИСНИЦИМА'!$H$16:$H$1823)</f>
        <v>0</v>
      </c>
      <c r="E35" s="248"/>
      <c r="F35" s="280"/>
      <c r="G35" s="249">
        <f>SUMIF('ПО КОРИСНИЦИМА'!$G$16:$G$1823,"Свега за пројекат 1101-П20:",'ПО КОРИСНИЦИМА'!$L$16:$L$1823)</f>
        <v>0</v>
      </c>
      <c r="H35" s="249"/>
      <c r="I35" s="287"/>
      <c r="J35" s="246">
        <f t="shared" si="1"/>
        <v>0</v>
      </c>
      <c r="K35" s="246"/>
      <c r="L35" s="279"/>
    </row>
    <row r="36" spans="1:12" hidden="1" x14ac:dyDescent="0.2">
      <c r="A36" s="177"/>
      <c r="B36" s="177" t="s">
        <v>4242</v>
      </c>
      <c r="C36" s="262" t="str">
        <f>IFERROR(VLOOKUP(B36,'ПО КОРИСНИЦИМА'!$C$16:$S$1823,5,FALSE),"")</f>
        <v/>
      </c>
      <c r="D36" s="248">
        <f>SUMIF('ПО КОРИСНИЦИМА'!$G$16:$G$1823,"Свега за пројекат 1101-П21:",'ПО КОРИСНИЦИМА'!$H$16:$H$1823)</f>
        <v>0</v>
      </c>
      <c r="E36" s="248"/>
      <c r="F36" s="280"/>
      <c r="G36" s="249">
        <f>SUMIF('ПО КОРИСНИЦИМА'!$G$16:$G$1823,"Свега за пројекат 1101-П21:",'ПО КОРИСНИЦИМА'!$L$16:$L$1823)</f>
        <v>0</v>
      </c>
      <c r="H36" s="249"/>
      <c r="I36" s="287"/>
      <c r="J36" s="246">
        <f t="shared" si="1"/>
        <v>0</v>
      </c>
      <c r="K36" s="246"/>
      <c r="L36" s="279"/>
    </row>
    <row r="37" spans="1:12" hidden="1" x14ac:dyDescent="0.2">
      <c r="A37" s="177"/>
      <c r="B37" s="177" t="s">
        <v>4243</v>
      </c>
      <c r="C37" s="262" t="str">
        <f>IFERROR(VLOOKUP(B37,'ПО КОРИСНИЦИМА'!$C$16:$S$1823,5,FALSE),"")</f>
        <v/>
      </c>
      <c r="D37" s="248">
        <f>SUMIF('ПО КОРИСНИЦИМА'!$G$16:$G$1823,"Свега за пројекат 1101-П22:",'ПО КОРИСНИЦИМА'!$H$16:$H$1823)</f>
        <v>0</v>
      </c>
      <c r="E37" s="248"/>
      <c r="F37" s="280"/>
      <c r="G37" s="249">
        <f>SUMIF('ПО КОРИСНИЦИМА'!$G$16:$G$1823,"Свега за пројекат 1101-П22:",'ПО КОРИСНИЦИМА'!$L$16:$L$1823)</f>
        <v>0</v>
      </c>
      <c r="H37" s="249"/>
      <c r="I37" s="287"/>
      <c r="J37" s="246">
        <f t="shared" si="1"/>
        <v>0</v>
      </c>
      <c r="K37" s="246"/>
      <c r="L37" s="279"/>
    </row>
    <row r="38" spans="1:12" hidden="1" x14ac:dyDescent="0.2">
      <c r="A38" s="177"/>
      <c r="B38" s="177" t="s">
        <v>4244</v>
      </c>
      <c r="C38" s="262" t="str">
        <f>IFERROR(VLOOKUP(B38,'ПО КОРИСНИЦИМА'!$C$16:$S$1823,5,FALSE),"")</f>
        <v/>
      </c>
      <c r="D38" s="248">
        <f>SUMIF('ПО КОРИСНИЦИМА'!$G$16:$G$1823,"Свега за пројекат 1101-П23:",'ПО КОРИСНИЦИМА'!$H$16:$H$1823)</f>
        <v>0</v>
      </c>
      <c r="E38" s="248"/>
      <c r="F38" s="280"/>
      <c r="G38" s="249">
        <f>SUMIF('ПО КОРИСНИЦИМА'!$G$16:$G$1823,"Свега за пројекат 1101-П23:",'ПО КОРИСНИЦИМА'!$L$16:$L$1823)</f>
        <v>0</v>
      </c>
      <c r="H38" s="249"/>
      <c r="I38" s="287"/>
      <c r="J38" s="246">
        <f t="shared" si="1"/>
        <v>0</v>
      </c>
      <c r="K38" s="246"/>
      <c r="L38" s="279"/>
    </row>
    <row r="39" spans="1:12" hidden="1" x14ac:dyDescent="0.2">
      <c r="A39" s="188"/>
      <c r="B39" s="188" t="s">
        <v>4245</v>
      </c>
      <c r="C39" s="263" t="str">
        <f>IFERROR(VLOOKUP(B39,'ПО КОРИСНИЦИМА'!$C$16:$S$1823,5,FALSE),"")</f>
        <v/>
      </c>
      <c r="D39" s="250">
        <f>SUMIF('ПО КОРИСНИЦИМА'!$G$16:$G$1823,"Свега за пројекат 1101-П24:",'ПО КОРИСНИЦИМА'!$H$16:$H$1823)</f>
        <v>0</v>
      </c>
      <c r="E39" s="250"/>
      <c r="F39" s="281"/>
      <c r="G39" s="251">
        <f>SUMIF('ПО КОРИСНИЦИМА'!$G$16:$G$1823,"Свега за пројекат 1101-П24:",'ПО КОРИСНИЦИМА'!$L$16:$L$1823)</f>
        <v>0</v>
      </c>
      <c r="H39" s="251"/>
      <c r="I39" s="288"/>
      <c r="J39" s="252">
        <f t="shared" si="1"/>
        <v>0</v>
      </c>
      <c r="K39" s="252"/>
      <c r="L39" s="293"/>
    </row>
    <row r="40" spans="1:12" x14ac:dyDescent="0.2">
      <c r="A40" s="173" t="s">
        <v>4914</v>
      </c>
      <c r="B40" s="174"/>
      <c r="C40" s="260" t="s">
        <v>3668</v>
      </c>
      <c r="D40" s="242">
        <f>SUM(D41:D98)</f>
        <v>39023085</v>
      </c>
      <c r="E40" s="242">
        <f>SUM(E41:E98)</f>
        <v>18321022.460000001</v>
      </c>
      <c r="F40" s="282">
        <f>E40/D40</f>
        <v>0.46949190357451237</v>
      </c>
      <c r="G40" s="243">
        <f>SUM(G41:G98)</f>
        <v>0</v>
      </c>
      <c r="H40" s="243">
        <f>SUM(H41:H51)</f>
        <v>10111714.960000001</v>
      </c>
      <c r="I40" s="289" t="e">
        <f>H40/G40</f>
        <v>#DIV/0!</v>
      </c>
      <c r="J40" s="242">
        <f t="shared" si="1"/>
        <v>39023085</v>
      </c>
      <c r="K40" s="242">
        <f>E40+H40</f>
        <v>28432737.420000002</v>
      </c>
      <c r="L40" s="282">
        <f>K40/J40</f>
        <v>0.72861326622433875</v>
      </c>
    </row>
    <row r="41" spans="1:12" ht="25.5" x14ac:dyDescent="0.2">
      <c r="A41" s="175"/>
      <c r="B41" s="175" t="s">
        <v>4915</v>
      </c>
      <c r="C41" s="264" t="s">
        <v>4916</v>
      </c>
      <c r="D41" s="244">
        <f>SUMIF('ПО КОРИСНИЦИМА'!$G$16:$G$1823,"Свега за програмску активност 1102-0001:",'ПО КОРИСНИЦИМА'!$H$16:$H$1823)</f>
        <v>18230516</v>
      </c>
      <c r="E41" s="244">
        <f>SUMIF('ПО КОРИСНИЦИМА'!$G$16:$G$1823,"Свега за програмску активност 1102-0001:",'ПО КОРИСНИЦИМА'!$I$16:$I$1823)</f>
        <v>12038424.369999999</v>
      </c>
      <c r="F41" s="278">
        <f t="shared" ref="F41:F52" si="2">E41/D41</f>
        <v>0.66034468634897658</v>
      </c>
      <c r="G41" s="245">
        <f>SUMIF('ПО КОРИСНИЦИМА'!$G$16:$G$1823,"Свега за програмску активност 1102-0001:",'ПО КОРИСНИЦИМА'!$L$16:$L$1823)</f>
        <v>0</v>
      </c>
      <c r="H41" s="245">
        <f>SUMIF('ПО КОРИСНИЦИМА'!$G$16:$G$1823,"Свега за програмску активност 1102-0001:",'ПО КОРИСНИЦИМА'!$M$16:$M$1823)</f>
        <v>1135477.71</v>
      </c>
      <c r="I41" s="285" t="e">
        <f>H41/G41</f>
        <v>#DIV/0!</v>
      </c>
      <c r="J41" s="244">
        <f t="shared" si="1"/>
        <v>18230516</v>
      </c>
      <c r="K41" s="244">
        <f t="shared" ref="K41:K50" si="3">E41+H41</f>
        <v>13173902.079999998</v>
      </c>
      <c r="L41" s="278">
        <f t="shared" ref="L41:L50" si="4">K41/J41</f>
        <v>0.72262913896677405</v>
      </c>
    </row>
    <row r="42" spans="1:12" x14ac:dyDescent="0.2">
      <c r="A42" s="177"/>
      <c r="B42" s="177" t="s">
        <v>4917</v>
      </c>
      <c r="C42" s="265" t="s">
        <v>4918</v>
      </c>
      <c r="D42" s="246">
        <f>SUMIF('ПО КОРИСНИЦИМА'!$G$16:$G$1823,"Свега за програмску активност 1102-0002:",'ПО КОРИСНИЦИМА'!$H$16:$H$1823)</f>
        <v>808197</v>
      </c>
      <c r="E42" s="246">
        <f>SUMIF('ПО КОРИСНИЦИМА'!$G$16:$G$1823,"Свега за програмску активност 1102-0002:",'ПО КОРИСНИЦИМА'!$I$16:$I$1823)</f>
        <v>555634.86</v>
      </c>
      <c r="F42" s="279">
        <f t="shared" si="2"/>
        <v>0.68749928544649386</v>
      </c>
      <c r="G42" s="247">
        <f>SUMIF('ПО КОРИСНИЦИМА'!$G$16:$G$1823,"Свега за програмску активност 1102-0002:",'ПО КОРИСНИЦИМА'!$L$16:$L$1823)</f>
        <v>0</v>
      </c>
      <c r="H42" s="247">
        <f>SUMIF('ПО КОРИСНИЦИМА'!$G$16:$G$1823,"Свега за програмску активност 1102-0002:",'ПО КОРИСНИЦИМА'!$M$16:$M$1823)</f>
        <v>0</v>
      </c>
      <c r="I42" s="286"/>
      <c r="J42" s="246">
        <f t="shared" si="1"/>
        <v>808197</v>
      </c>
      <c r="K42" s="246">
        <f t="shared" si="3"/>
        <v>555634.86</v>
      </c>
      <c r="L42" s="279">
        <f t="shared" si="4"/>
        <v>0.68749928544649386</v>
      </c>
    </row>
    <row r="43" spans="1:12" ht="25.5" x14ac:dyDescent="0.2">
      <c r="A43" s="177"/>
      <c r="B43" s="177" t="s">
        <v>4919</v>
      </c>
      <c r="C43" s="265" t="s">
        <v>4920</v>
      </c>
      <c r="D43" s="246">
        <f>SUMIF('ПО КОРИСНИЦИМА'!$G$16:$G$1823,"Свега за програмску активност 1102-0003:",'ПО КОРИСНИЦИМА'!$H$16:$H$1823)</f>
        <v>250000</v>
      </c>
      <c r="E43" s="246">
        <f>SUMIF('ПО КОРИСНИЦИМА'!$G$16:$G$1823,"Свега за програмску активност 1102-0003:",'ПО КОРИСНИЦИМА'!$I$16:$I$1823)</f>
        <v>0</v>
      </c>
      <c r="F43" s="279">
        <f t="shared" si="2"/>
        <v>0</v>
      </c>
      <c r="G43" s="247">
        <f>SUMIF('ПО КОРИСНИЦИМА'!$G$16:$G$1823,"Свега за програмску активност 1102-0003:",'ПО КОРИСНИЦИМА'!$L$16:$L$1823)</f>
        <v>0</v>
      </c>
      <c r="H43" s="247">
        <f>SUMIF('ПО КОРИСНИЦИМА'!$G$16:$G$1823,"Свега за програмску активност 1102-0003:",'ПО КОРИСНИЦИМА'!$M$16:$M$1823)</f>
        <v>0</v>
      </c>
      <c r="I43" s="286"/>
      <c r="J43" s="246">
        <f t="shared" si="1"/>
        <v>250000</v>
      </c>
      <c r="K43" s="246">
        <f t="shared" si="3"/>
        <v>0</v>
      </c>
      <c r="L43" s="279">
        <f t="shared" si="4"/>
        <v>0</v>
      </c>
    </row>
    <row r="44" spans="1:12" x14ac:dyDescent="0.2">
      <c r="A44" s="177"/>
      <c r="B44" s="177" t="s">
        <v>4921</v>
      </c>
      <c r="C44" s="265" t="s">
        <v>4922</v>
      </c>
      <c r="D44" s="246">
        <f>SUMIF('ПО КОРИСНИЦИМА'!$G$16:$G$1823,"Свега за програмску активност 1102-0004:",'ПО КОРИСНИЦИМА'!$H$16:$H$1823)</f>
        <v>1144372</v>
      </c>
      <c r="E44" s="246">
        <f>SUMIF('ПО КОРИСНИЦИМА'!$G$16:$G$1823,"Свега за програмску активност 1102-0004:",'ПО КОРИСНИЦИМА'!$I$16:$I$1823)</f>
        <v>1750451.23</v>
      </c>
      <c r="F44" s="279">
        <f t="shared" si="2"/>
        <v>1.5296173184943358</v>
      </c>
      <c r="G44" s="247">
        <f>SUMIF('ПО КОРИСНИЦИМА'!$G$16:$G$1823,"Свега за програмску активност 1102-0004:",'ПО КОРИСНИЦИМА'!$L$16:$L$1823)</f>
        <v>0</v>
      </c>
      <c r="H44" s="247">
        <f>SUMIF('ПО КОРИСНИЦИМА'!$G$16:$G$1823,"Свега за програмску активност 1102-0004:",'ПО КОРИСНИЦИМА'!$M$16:$M$1823)</f>
        <v>0</v>
      </c>
      <c r="I44" s="286"/>
      <c r="J44" s="246">
        <f t="shared" si="1"/>
        <v>1144372</v>
      </c>
      <c r="K44" s="246">
        <f t="shared" si="3"/>
        <v>1750451.23</v>
      </c>
      <c r="L44" s="279">
        <f t="shared" si="4"/>
        <v>1.5296173184943358</v>
      </c>
    </row>
    <row r="45" spans="1:12" ht="25.5" hidden="1" x14ac:dyDescent="0.2">
      <c r="A45" s="177"/>
      <c r="B45" s="177" t="s">
        <v>4923</v>
      </c>
      <c r="C45" s="265" t="s">
        <v>4159</v>
      </c>
      <c r="D45" s="246">
        <f>SUMIF('ПО КОРИСНИЦИМА'!$G$16:$G$1823,"Свега за програмску активност 0601-0005:",'ПО КОРИСНИЦИМА'!$H$16:$H$1823)</f>
        <v>0</v>
      </c>
      <c r="E45" s="246">
        <f>SUMIF('ПО КОРИСНИЦИМА'!$G$16:$G$1823,"Свега за програмску активност 0601-0005:",'ПО КОРИСНИЦИМА'!$H$16:$H$1823)</f>
        <v>0</v>
      </c>
      <c r="F45" s="278" t="e">
        <f t="shared" si="2"/>
        <v>#DIV/0!</v>
      </c>
      <c r="G45" s="247">
        <f>SUMIF('ПО КОРИСНИЦИМА'!$G$16:$G$1823,"Свега за програмску активност 0601-0005:",'ПО КОРИСНИЦИМА'!$L$16:$L$1823)</f>
        <v>0</v>
      </c>
      <c r="H45" s="247"/>
      <c r="I45" s="286"/>
      <c r="J45" s="246">
        <f t="shared" si="1"/>
        <v>0</v>
      </c>
      <c r="K45" s="246">
        <f t="shared" si="3"/>
        <v>0</v>
      </c>
      <c r="L45" s="279" t="e">
        <f t="shared" si="4"/>
        <v>#DIV/0!</v>
      </c>
    </row>
    <row r="46" spans="1:12" ht="25.5" hidden="1" x14ac:dyDescent="0.2">
      <c r="A46" s="177"/>
      <c r="B46" s="177" t="s">
        <v>4924</v>
      </c>
      <c r="C46" s="265" t="s">
        <v>4046</v>
      </c>
      <c r="D46" s="246">
        <f>SUMIF('ПО КОРИСНИЦИМА'!$G$16:$G$1823,"Свега за програмску активност 0601-0006:",'ПО КОРИСНИЦИМА'!$H$16:$H$1823)</f>
        <v>0</v>
      </c>
      <c r="E46" s="246">
        <f>SUMIF('ПО КОРИСНИЦИМА'!$G$16:$G$1823,"Свега за програмску активност 0601-0006:",'ПО КОРИСНИЦИМА'!$H$16:$H$1823)</f>
        <v>0</v>
      </c>
      <c r="F46" s="279" t="e">
        <f t="shared" si="2"/>
        <v>#DIV/0!</v>
      </c>
      <c r="G46" s="247">
        <f>SUMIF('ПО КОРИСНИЦИМА'!$G$16:$G$1823,"Свега за програмску активност 0601-0006:",'ПО КОРИСНИЦИМА'!$L$16:$L$1823)</f>
        <v>0</v>
      </c>
      <c r="H46" s="247"/>
      <c r="I46" s="286"/>
      <c r="J46" s="246">
        <f t="shared" si="1"/>
        <v>0</v>
      </c>
      <c r="K46" s="246">
        <f t="shared" si="3"/>
        <v>0</v>
      </c>
      <c r="L46" s="279" t="e">
        <f t="shared" si="4"/>
        <v>#DIV/0!</v>
      </c>
    </row>
    <row r="47" spans="1:12" ht="25.5" hidden="1" x14ac:dyDescent="0.2">
      <c r="A47" s="177"/>
      <c r="B47" s="177" t="s">
        <v>4925</v>
      </c>
      <c r="C47" s="265" t="s">
        <v>4926</v>
      </c>
      <c r="D47" s="246">
        <f>SUMIF('ПО КОРИСНИЦИМА'!$G$16:$G$1823,"Свега за програмску активност 0601-0007:",'ПО КОРИСНИЦИМА'!$H$16:$H$1823)</f>
        <v>0</v>
      </c>
      <c r="E47" s="246">
        <f>SUMIF('ПО КОРИСНИЦИМА'!$G$16:$G$1823,"Свега за програмску активност 0601-0007:",'ПО КОРИСНИЦИМА'!$H$16:$H$1823)</f>
        <v>0</v>
      </c>
      <c r="F47" s="279" t="e">
        <f t="shared" si="2"/>
        <v>#DIV/0!</v>
      </c>
      <c r="G47" s="247">
        <f>SUMIF('ПО КОРИСНИЦИМА'!$G$16:$G$1823,"Свега за програмску активност 0601-0007:",'ПО КОРИСНИЦИМА'!$L$16:$L$1823)</f>
        <v>0</v>
      </c>
      <c r="H47" s="247"/>
      <c r="I47" s="286"/>
      <c r="J47" s="246">
        <f t="shared" si="1"/>
        <v>0</v>
      </c>
      <c r="K47" s="246">
        <f t="shared" si="3"/>
        <v>0</v>
      </c>
      <c r="L47" s="279" t="e">
        <f t="shared" si="4"/>
        <v>#DIV/0!</v>
      </c>
    </row>
    <row r="48" spans="1:12" ht="25.5" x14ac:dyDescent="0.2">
      <c r="A48" s="177"/>
      <c r="B48" s="86" t="s">
        <v>4927</v>
      </c>
      <c r="C48" s="265" t="s">
        <v>5151</v>
      </c>
      <c r="D48" s="246">
        <f>SUMIF('ПО КОРИСНИЦИМА'!$G$16:$G$1823,"Свега за програмску активност 1102-0008:",'ПО КОРИСНИЦИМА'!$H$16:$H$1823)</f>
        <v>14750000</v>
      </c>
      <c r="E48" s="246">
        <f>SUMIF('ПО КОРИСНИЦИМА'!$G$16:$G$1823,"Свега за програмску активност 1102-0008:",'ПО КОРИСНИЦИМА'!$I$16:$I$1823)</f>
        <v>3750000</v>
      </c>
      <c r="F48" s="279">
        <f t="shared" si="2"/>
        <v>0.25423728813559321</v>
      </c>
      <c r="G48" s="247">
        <f>SUMIF('ПО КОРИСНИЦИМА'!$G$16:$G$1823,"Свега за програмску активност 1102-0008:",'ПО КОРИСНИЦИМА'!$L$16:$L$1823)</f>
        <v>0</v>
      </c>
      <c r="H48" s="247">
        <f>SUMIF('ПО КОРИСНИЦИМА'!$G$16:$G$1823,"Свега за програмску активност 1102-0008:",'ПО КОРИСНИЦИМА'!$M$16:$M$1823)</f>
        <v>0</v>
      </c>
      <c r="I48" s="286"/>
      <c r="J48" s="246">
        <f t="shared" si="1"/>
        <v>14750000</v>
      </c>
      <c r="K48" s="246">
        <f t="shared" si="3"/>
        <v>3750000</v>
      </c>
      <c r="L48" s="279">
        <f t="shared" si="4"/>
        <v>0.25423728813559321</v>
      </c>
    </row>
    <row r="49" spans="1:12" hidden="1" x14ac:dyDescent="0.2">
      <c r="A49" s="519"/>
      <c r="B49" s="519" t="s">
        <v>4928</v>
      </c>
      <c r="C49" s="520" t="s">
        <v>4045</v>
      </c>
      <c r="D49" s="521">
        <f>SUMIF('ПО КОРИСНИЦИМА'!$G$16:$G$1823,"Свега за програмску активност 1102-0009:",'ПО КОРИСНИЦИМА'!$H$16:$H$1823)</f>
        <v>0</v>
      </c>
      <c r="E49" s="521">
        <f>SUMIF('ПО КОРИСНИЦИМА'!$G$16:$G$1823,"Свега за програмску активност 1102-0009:",'ПО КОРИСНИЦИМА'!$H$16:$H$1823)</f>
        <v>0</v>
      </c>
      <c r="F49" s="522"/>
      <c r="G49" s="523">
        <f>SUMIF('ПО КОРИСНИЦИМА'!$G$16:$G$1823,"Свега за програмску активност 1102-0009:",'ПО КОРИСНИЦИМА'!$L$16:$L$1823)</f>
        <v>0</v>
      </c>
      <c r="H49" s="523"/>
      <c r="I49" s="524"/>
      <c r="J49" s="521">
        <f t="shared" si="1"/>
        <v>0</v>
      </c>
      <c r="K49" s="521">
        <f t="shared" si="3"/>
        <v>0</v>
      </c>
      <c r="L49" s="522"/>
    </row>
    <row r="50" spans="1:12" ht="55.5" customHeight="1" x14ac:dyDescent="0.2">
      <c r="A50" s="177"/>
      <c r="B50" s="86" t="s">
        <v>4949</v>
      </c>
      <c r="C50" s="408" t="s">
        <v>5480</v>
      </c>
      <c r="D50" s="248">
        <f>SUMIF('ПО КОРИСНИЦИМА'!$G$16:$G$1823,"Свега за пројекат 1102-П1:",'ПО КОРИСНИЦИМА'!$H$16:$H$1823)</f>
        <v>3840000</v>
      </c>
      <c r="E50" s="248">
        <f>SUMIF('ПО КОРИСНИЦИМА'!$G$16:$G$1823,"Свега за пројекат 1102-П1:",'ПО КОРИСНИЦИМА'!$I$16:$I$1823)</f>
        <v>226512</v>
      </c>
      <c r="F50" s="280">
        <f t="shared" si="2"/>
        <v>5.8987499999999998E-2</v>
      </c>
      <c r="G50" s="249">
        <f>SUMIF('ПО КОРИСНИЦИМА'!$G$16:$G$1823,"Свега за пројекат 1102-П1:",'ПО КОРИСНИЦИМА'!$L$16:$L$1823)</f>
        <v>0</v>
      </c>
      <c r="H50" s="249">
        <f>SUMIF('ПО КОРИСНИЦИМА'!$G$16:$G$1823,"Свега за пројекат 1102-П1:",'ПО КОРИСНИЦИМА'!$M$16:$M$1823)</f>
        <v>0</v>
      </c>
      <c r="I50" s="287" t="e">
        <f>H50/G50</f>
        <v>#DIV/0!</v>
      </c>
      <c r="J50" s="246">
        <f t="shared" si="1"/>
        <v>3840000</v>
      </c>
      <c r="K50" s="246">
        <f t="shared" si="3"/>
        <v>226512</v>
      </c>
      <c r="L50" s="279">
        <f t="shared" si="4"/>
        <v>5.8987499999999998E-2</v>
      </c>
    </row>
    <row r="51" spans="1:12" s="415" customFormat="1" hidden="1" x14ac:dyDescent="0.2">
      <c r="A51" s="407"/>
      <c r="B51" s="407" t="s">
        <v>4961</v>
      </c>
      <c r="C51" s="603" t="s">
        <v>4962</v>
      </c>
      <c r="D51" s="409">
        <f>SUMIF('ПО КОРИСНИЦИМА'!$G$16:$G$1823,"Свега за пројекат 1102-П2:",'ПО КОРИСНИЦИМА'!$H$16:$H$1823)</f>
        <v>0</v>
      </c>
      <c r="E51" s="409">
        <f>SUMIF('ПО КОРИСНИЦИМА'!$G$16:$G$1823,"Свега за пројекат 1102-П2:",'ПО КОРИСНИЦИМА'!$I$16:$I$1823)</f>
        <v>0</v>
      </c>
      <c r="F51" s="410" t="e">
        <f>E51/D51</f>
        <v>#DIV/0!</v>
      </c>
      <c r="G51" s="411">
        <f>SUMIF('ПО КОРИСНИЦИМА'!$G$16:$G$1823,"Свега за пројекат 1102-П2:",'ПО КОРИСНИЦИМА'!$L$16:$L$1823)</f>
        <v>0</v>
      </c>
      <c r="H51" s="411">
        <f>SUMIF('ПО КОРИСНИЦИМА'!$G$16:$G$1823,"Свега за пројекат 1102-П2:",'ПО КОРИСНИЦИМА'!$M$16:$M$1823)</f>
        <v>8976237.25</v>
      </c>
      <c r="I51" s="412" t="e">
        <f>H51/G51</f>
        <v>#DIV/0!</v>
      </c>
      <c r="J51" s="413">
        <f>D51+G51</f>
        <v>0</v>
      </c>
      <c r="K51" s="413">
        <f>E51+H51</f>
        <v>8976237.25</v>
      </c>
      <c r="L51" s="414" t="e">
        <f>K51/J51</f>
        <v>#DIV/0!</v>
      </c>
    </row>
    <row r="52" spans="1:12" s="415" customFormat="1" hidden="1" x14ac:dyDescent="0.2">
      <c r="A52" s="407"/>
      <c r="B52" s="407" t="s">
        <v>4246</v>
      </c>
      <c r="C52" s="416" t="str">
        <f>IFERROR(VLOOKUP(B52,'ПО КОРИСНИЦИМА'!$C$16:$S$1823,5,FALSE),"")</f>
        <v/>
      </c>
      <c r="D52" s="409">
        <f>SUMIF('ПО КОРИСНИЦИМА'!$G$16:$G$1823,"Свега за пројекат 0601-П4:",'ПО КОРИСНИЦИМА'!$H$16:$H$1823)</f>
        <v>0</v>
      </c>
      <c r="E52" s="409">
        <f>SUMIF('ПО КОРИСНИЦИМА'!$G$16:$G$1823,"Свега за пројекат 0601-П4:",'ПО КОРИСНИЦИМА'!$I$16:$I$1823)</f>
        <v>0</v>
      </c>
      <c r="F52" s="410" t="e">
        <f t="shared" si="2"/>
        <v>#DIV/0!</v>
      </c>
      <c r="G52" s="411">
        <f>SUMIF('ПО КОРИСНИЦИМА'!$G$16:$G$1823,"Свега за пројекат 0601-П4:",'ПО КОРИСНИЦИМА'!$L$16:$L$1823)</f>
        <v>0</v>
      </c>
      <c r="H52" s="411">
        <f>SUMIF('ПО КОРИСНИЦИМА'!$G$16:$G$1823,"Свега за пројекат 0601-П4:",'ПО КОРИСНИЦИМА'!$M$16:$M$1823)</f>
        <v>0</v>
      </c>
      <c r="I52" s="412"/>
      <c r="J52" s="413">
        <f>D52+G52</f>
        <v>0</v>
      </c>
      <c r="K52" s="413"/>
      <c r="L52" s="414"/>
    </row>
    <row r="53" spans="1:12" hidden="1" x14ac:dyDescent="0.2">
      <c r="A53" s="177"/>
      <c r="B53" s="177" t="s">
        <v>4247</v>
      </c>
      <c r="C53" s="262" t="str">
        <f>IFERROR(VLOOKUP(B53,'ПО КОРИСНИЦИМА'!$C$16:$S$1823,5,FALSE),"")</f>
        <v/>
      </c>
      <c r="D53" s="248"/>
      <c r="E53" s="248"/>
      <c r="F53" s="280"/>
      <c r="G53" s="249"/>
      <c r="H53" s="249"/>
      <c r="I53" s="287"/>
      <c r="J53" s="246"/>
      <c r="K53" s="246"/>
      <c r="L53" s="279"/>
    </row>
    <row r="54" spans="1:12" hidden="1" x14ac:dyDescent="0.2">
      <c r="A54" s="177"/>
      <c r="B54" s="177" t="s">
        <v>4248</v>
      </c>
      <c r="C54" s="262" t="str">
        <f>IFERROR(VLOOKUP(B54,'ПО КОРИСНИЦИМА'!$C$16:$S$1823,5,FALSE),"")</f>
        <v/>
      </c>
      <c r="D54" s="248"/>
      <c r="E54" s="248"/>
      <c r="F54" s="280"/>
      <c r="G54" s="249"/>
      <c r="H54" s="249"/>
      <c r="I54" s="287"/>
      <c r="J54" s="246"/>
      <c r="K54" s="246"/>
      <c r="L54" s="279"/>
    </row>
    <row r="55" spans="1:12" hidden="1" x14ac:dyDescent="0.2">
      <c r="A55" s="177"/>
      <c r="B55" s="177" t="s">
        <v>4249</v>
      </c>
      <c r="C55" s="262" t="str">
        <f>IFERROR(VLOOKUP(B55,'ПО КОРИСНИЦИМА'!$C$16:$S$1823,5,FALSE),"")</f>
        <v/>
      </c>
      <c r="D55" s="248"/>
      <c r="E55" s="248"/>
      <c r="F55" s="280"/>
      <c r="G55" s="249"/>
      <c r="H55" s="249"/>
      <c r="I55" s="287"/>
      <c r="J55" s="246"/>
      <c r="K55" s="246"/>
      <c r="L55" s="279"/>
    </row>
    <row r="56" spans="1:12" hidden="1" x14ac:dyDescent="0.2">
      <c r="A56" s="177"/>
      <c r="B56" s="177" t="s">
        <v>4250</v>
      </c>
      <c r="C56" s="262" t="str">
        <f>IFERROR(VLOOKUP(B56,'ПО КОРИСНИЦИМА'!$C$16:$S$1823,5,FALSE),"")</f>
        <v/>
      </c>
      <c r="D56" s="248"/>
      <c r="E56" s="248"/>
      <c r="F56" s="280"/>
      <c r="G56" s="249"/>
      <c r="H56" s="249"/>
      <c r="I56" s="287"/>
      <c r="J56" s="246"/>
      <c r="K56" s="246"/>
      <c r="L56" s="279"/>
    </row>
    <row r="57" spans="1:12" hidden="1" x14ac:dyDescent="0.2">
      <c r="A57" s="177"/>
      <c r="B57" s="177" t="s">
        <v>4251</v>
      </c>
      <c r="C57" s="262" t="str">
        <f>IFERROR(VLOOKUP(B57,'ПО КОРИСНИЦИМА'!$C$16:$S$1823,5,FALSE),"")</f>
        <v/>
      </c>
      <c r="D57" s="248"/>
      <c r="E57" s="248"/>
      <c r="F57" s="280"/>
      <c r="G57" s="249"/>
      <c r="H57" s="249"/>
      <c r="I57" s="287"/>
      <c r="J57" s="246"/>
      <c r="K57" s="246"/>
      <c r="L57" s="279"/>
    </row>
    <row r="58" spans="1:12" hidden="1" x14ac:dyDescent="0.2">
      <c r="A58" s="177"/>
      <c r="B58" s="177" t="s">
        <v>4252</v>
      </c>
      <c r="C58" s="262" t="str">
        <f>IFERROR(VLOOKUP(B58,'ПО КОРИСНИЦИМА'!$C$16:$S$1823,5,FALSE),"")</f>
        <v/>
      </c>
      <c r="D58" s="248"/>
      <c r="E58" s="248"/>
      <c r="F58" s="280"/>
      <c r="G58" s="249"/>
      <c r="H58" s="249"/>
      <c r="I58" s="287"/>
      <c r="J58" s="246"/>
      <c r="K58" s="246"/>
      <c r="L58" s="279"/>
    </row>
    <row r="59" spans="1:12" hidden="1" x14ac:dyDescent="0.2">
      <c r="A59" s="177"/>
      <c r="B59" s="177" t="s">
        <v>4253</v>
      </c>
      <c r="C59" s="262" t="str">
        <f>IFERROR(VLOOKUP(B59,'ПО КОРИСНИЦИМА'!$C$16:$S$1823,5,FALSE),"")</f>
        <v/>
      </c>
      <c r="D59" s="248"/>
      <c r="E59" s="248"/>
      <c r="F59" s="280"/>
      <c r="G59" s="249"/>
      <c r="H59" s="249"/>
      <c r="I59" s="287"/>
      <c r="J59" s="246"/>
      <c r="K59" s="246"/>
      <c r="L59" s="279"/>
    </row>
    <row r="60" spans="1:12" hidden="1" x14ac:dyDescent="0.2">
      <c r="A60" s="177"/>
      <c r="B60" s="177" t="s">
        <v>4254</v>
      </c>
      <c r="C60" s="262" t="str">
        <f>IFERROR(VLOOKUP(B60,'ПО КОРИСНИЦИМА'!$C$16:$S$1823,5,FALSE),"")</f>
        <v/>
      </c>
      <c r="D60" s="248">
        <f>SUMIF('ПО КОРИСНИЦИМА'!$G$16:$G$1823,"Свега за пројекат 0601-П12:",'ПО КОРИСНИЦИМА'!$H$16:$H$1823)</f>
        <v>0</v>
      </c>
      <c r="E60" s="248"/>
      <c r="F60" s="280"/>
      <c r="G60" s="249">
        <f>SUMIF('ПО КОРИСНИЦИМА'!$G$16:$G$1823,"Свега за пројекат 0601-П12:",'ПО КОРИСНИЦИМА'!$L$16:$L$1823)</f>
        <v>0</v>
      </c>
      <c r="H60" s="249"/>
      <c r="I60" s="287"/>
      <c r="J60" s="246">
        <f t="shared" ref="J60:K123" si="5">D60+G60</f>
        <v>0</v>
      </c>
      <c r="K60" s="246"/>
      <c r="L60" s="279"/>
    </row>
    <row r="61" spans="1:12" hidden="1" x14ac:dyDescent="0.2">
      <c r="A61" s="177"/>
      <c r="B61" s="177" t="s">
        <v>4255</v>
      </c>
      <c r="C61" s="262" t="str">
        <f>IFERROR(VLOOKUP(B61,'ПО КОРИСНИЦИМА'!$C$16:$S$1823,5,FALSE),"")</f>
        <v/>
      </c>
      <c r="D61" s="248">
        <f>SUMIF('ПО КОРИСНИЦИМА'!$G$16:$G$1823,"Свега за пројекат 0601-П13:",'ПО КОРИСНИЦИМА'!$H$16:$H$1823)</f>
        <v>0</v>
      </c>
      <c r="E61" s="248"/>
      <c r="F61" s="280"/>
      <c r="G61" s="249">
        <f>SUMIF('ПО КОРИСНИЦИМА'!$G$16:$G$1823,"Свега за пројекат 0601-П13:",'ПО КОРИСНИЦИМА'!$L$16:$L$1823)</f>
        <v>0</v>
      </c>
      <c r="H61" s="249"/>
      <c r="I61" s="287"/>
      <c r="J61" s="246">
        <f t="shared" si="5"/>
        <v>0</v>
      </c>
      <c r="K61" s="246"/>
      <c r="L61" s="279"/>
    </row>
    <row r="62" spans="1:12" hidden="1" x14ac:dyDescent="0.2">
      <c r="A62" s="177"/>
      <c r="B62" s="177" t="s">
        <v>4256</v>
      </c>
      <c r="C62" s="262" t="str">
        <f>IFERROR(VLOOKUP(B62,'ПО КОРИСНИЦИМА'!$C$16:$S$1823,5,FALSE),"")</f>
        <v/>
      </c>
      <c r="D62" s="248">
        <f>SUMIF('ПО КОРИСНИЦИМА'!$G$16:$G$1823,"Свега за пројекат 0601-П14:",'ПО КОРИСНИЦИМА'!$H$16:$H$1823)</f>
        <v>0</v>
      </c>
      <c r="E62" s="248"/>
      <c r="F62" s="280"/>
      <c r="G62" s="249">
        <f>SUMIF('ПО КОРИСНИЦИМА'!$G$16:$G$1823,"Свега за пројекат 0601-П14:",'ПО КОРИСНИЦИМА'!$L$16:$L$1823)</f>
        <v>0</v>
      </c>
      <c r="H62" s="249"/>
      <c r="I62" s="287"/>
      <c r="J62" s="246">
        <f t="shared" si="5"/>
        <v>0</v>
      </c>
      <c r="K62" s="246"/>
      <c r="L62" s="279"/>
    </row>
    <row r="63" spans="1:12" hidden="1" x14ac:dyDescent="0.2">
      <c r="A63" s="177"/>
      <c r="B63" s="177" t="s">
        <v>4257</v>
      </c>
      <c r="C63" s="262" t="str">
        <f>IFERROR(VLOOKUP(B63,'ПО КОРИСНИЦИМА'!$C$16:$S$1823,5,FALSE),"")</f>
        <v/>
      </c>
      <c r="D63" s="248">
        <f>SUMIF('ПО КОРИСНИЦИМА'!$G$16:$G$1823,"Свега за пројекат 0601-П15:",'ПО КОРИСНИЦИМА'!$H$16:$H$1823)</f>
        <v>0</v>
      </c>
      <c r="E63" s="248"/>
      <c r="F63" s="280"/>
      <c r="G63" s="249">
        <f>SUMIF('ПО КОРИСНИЦИМА'!$G$16:$G$1823,"Свега за пројекат 0601-П15:",'ПО КОРИСНИЦИМА'!$L$16:$L$1823)</f>
        <v>0</v>
      </c>
      <c r="H63" s="249"/>
      <c r="I63" s="287"/>
      <c r="J63" s="246">
        <f t="shared" si="5"/>
        <v>0</v>
      </c>
      <c r="K63" s="246"/>
      <c r="L63" s="279"/>
    </row>
    <row r="64" spans="1:12" hidden="1" x14ac:dyDescent="0.2">
      <c r="A64" s="177"/>
      <c r="B64" s="177" t="s">
        <v>4258</v>
      </c>
      <c r="C64" s="262" t="str">
        <f>IFERROR(VLOOKUP(B64,'ПО КОРИСНИЦИМА'!$C$16:$S$1823,5,FALSE),"")</f>
        <v/>
      </c>
      <c r="D64" s="248">
        <f>SUMIF('ПО КОРИСНИЦИМА'!$G$16:$G$1823,"Свега за пројекат 0601-П16:",'ПО КОРИСНИЦИМА'!$H$16:$H$1823)</f>
        <v>0</v>
      </c>
      <c r="E64" s="248"/>
      <c r="F64" s="280"/>
      <c r="G64" s="249">
        <f>SUMIF('ПО КОРИСНИЦИМА'!$G$16:$G$1823,"Свега за пројекат 0601-П16:",'ПО КОРИСНИЦИМА'!$L$16:$L$1823)</f>
        <v>0</v>
      </c>
      <c r="H64" s="249"/>
      <c r="I64" s="287"/>
      <c r="J64" s="246">
        <f t="shared" si="5"/>
        <v>0</v>
      </c>
      <c r="K64" s="246"/>
      <c r="L64" s="279"/>
    </row>
    <row r="65" spans="1:12" hidden="1" x14ac:dyDescent="0.2">
      <c r="A65" s="177"/>
      <c r="B65" s="177" t="s">
        <v>4259</v>
      </c>
      <c r="C65" s="262" t="str">
        <f>IFERROR(VLOOKUP(B65,'ПО КОРИСНИЦИМА'!$C$16:$S$1823,5,FALSE),"")</f>
        <v/>
      </c>
      <c r="D65" s="248">
        <f>SUMIF('ПО КОРИСНИЦИМА'!$G$16:$G$1823,"Свега за пројекат 0601-П17:",'ПО КОРИСНИЦИМА'!$H$16:$H$1823)</f>
        <v>0</v>
      </c>
      <c r="E65" s="248"/>
      <c r="F65" s="280"/>
      <c r="G65" s="249">
        <f>SUMIF('ПО КОРИСНИЦИМА'!$G$16:$G$1823,"Свега за пројекат 0601-П17:",'ПО КОРИСНИЦИМА'!$L$16:$L$1823)</f>
        <v>0</v>
      </c>
      <c r="H65" s="249"/>
      <c r="I65" s="287"/>
      <c r="J65" s="246">
        <f t="shared" si="5"/>
        <v>0</v>
      </c>
      <c r="K65" s="246"/>
      <c r="L65" s="279"/>
    </row>
    <row r="66" spans="1:12" hidden="1" x14ac:dyDescent="0.2">
      <c r="A66" s="177"/>
      <c r="B66" s="177" t="s">
        <v>4260</v>
      </c>
      <c r="C66" s="262" t="str">
        <f>IFERROR(VLOOKUP(B66,'ПО КОРИСНИЦИМА'!$C$16:$S$1823,5,FALSE),"")</f>
        <v/>
      </c>
      <c r="D66" s="248">
        <f>SUMIF('ПО КОРИСНИЦИМА'!$G$16:$G$1823,"Свега за пројекат 0601-П18:",'ПО КОРИСНИЦИМА'!$H$16:$H$1823)</f>
        <v>0</v>
      </c>
      <c r="E66" s="248"/>
      <c r="F66" s="280"/>
      <c r="G66" s="249">
        <f>SUMIF('ПО КОРИСНИЦИМА'!$G$16:$G$1823,"Свега за пројекат 0601-П18:",'ПО КОРИСНИЦИМА'!$L$16:$L$1823)</f>
        <v>0</v>
      </c>
      <c r="H66" s="249"/>
      <c r="I66" s="287"/>
      <c r="J66" s="246">
        <f t="shared" si="5"/>
        <v>0</v>
      </c>
      <c r="K66" s="246"/>
      <c r="L66" s="279"/>
    </row>
    <row r="67" spans="1:12" hidden="1" x14ac:dyDescent="0.2">
      <c r="A67" s="177"/>
      <c r="B67" s="177" t="s">
        <v>4261</v>
      </c>
      <c r="C67" s="262" t="str">
        <f>IFERROR(VLOOKUP(B67,'ПО КОРИСНИЦИМА'!$C$16:$S$1823,5,FALSE),"")</f>
        <v/>
      </c>
      <c r="D67" s="248">
        <f>SUMIF('ПО КОРИСНИЦИМА'!$G$16:$G$1823,"Свега за пројекат 0601-П19:",'ПО КОРИСНИЦИМА'!$H$16:$H$1823)</f>
        <v>0</v>
      </c>
      <c r="E67" s="248"/>
      <c r="F67" s="280"/>
      <c r="G67" s="249">
        <f>SUMIF('ПО КОРИСНИЦИМА'!$G$16:$G$1823,"Свега за пројекат 0601-П19:",'ПО КОРИСНИЦИМА'!$L$16:$L$1823)</f>
        <v>0</v>
      </c>
      <c r="H67" s="249"/>
      <c r="I67" s="287"/>
      <c r="J67" s="246">
        <f t="shared" si="5"/>
        <v>0</v>
      </c>
      <c r="K67" s="246"/>
      <c r="L67" s="279"/>
    </row>
    <row r="68" spans="1:12" hidden="1" x14ac:dyDescent="0.2">
      <c r="A68" s="177"/>
      <c r="B68" s="177" t="s">
        <v>4262</v>
      </c>
      <c r="C68" s="262" t="str">
        <f>IFERROR(VLOOKUP(B68,'ПО КОРИСНИЦИМА'!$C$16:$S$1823,5,FALSE),"")</f>
        <v/>
      </c>
      <c r="D68" s="248">
        <f>SUMIF('ПО КОРИСНИЦИМА'!$G$16:$G$1823,"Свега за пројекат 0601-П20:",'ПО КОРИСНИЦИМА'!$H$16:$H$1823)</f>
        <v>0</v>
      </c>
      <c r="E68" s="248"/>
      <c r="F68" s="280"/>
      <c r="G68" s="249">
        <f>SUMIF('ПО КОРИСНИЦИМА'!$G$16:$G$1823,"Свега за пројекат 0601-П20:",'ПО КОРИСНИЦИМА'!$L$16:$L$1823)</f>
        <v>0</v>
      </c>
      <c r="H68" s="249"/>
      <c r="I68" s="287"/>
      <c r="J68" s="246">
        <f t="shared" si="5"/>
        <v>0</v>
      </c>
      <c r="K68" s="246"/>
      <c r="L68" s="279"/>
    </row>
    <row r="69" spans="1:12" hidden="1" x14ac:dyDescent="0.2">
      <c r="A69" s="177"/>
      <c r="B69" s="177" t="s">
        <v>4263</v>
      </c>
      <c r="C69" s="262" t="str">
        <f>IFERROR(VLOOKUP(B69,'ПО КОРИСНИЦИМА'!$C$16:$S$1823,5,FALSE),"")</f>
        <v/>
      </c>
      <c r="D69" s="248">
        <f>SUMIF('ПО КОРИСНИЦИМА'!$G$16:$G$1823,"Свега за пројекат 0601-П21:",'ПО КОРИСНИЦИМА'!$H$16:$H$1823)</f>
        <v>0</v>
      </c>
      <c r="E69" s="248"/>
      <c r="F69" s="280"/>
      <c r="G69" s="249">
        <f>SUMIF('ПО КОРИСНИЦИМА'!$G$16:$G$1823,"Свега за пројекат 0601-П21:",'ПО КОРИСНИЦИМА'!$L$16:$L$1823)</f>
        <v>0</v>
      </c>
      <c r="H69" s="249"/>
      <c r="I69" s="287"/>
      <c r="J69" s="246">
        <f t="shared" si="5"/>
        <v>0</v>
      </c>
      <c r="K69" s="246"/>
      <c r="L69" s="279"/>
    </row>
    <row r="70" spans="1:12" hidden="1" x14ac:dyDescent="0.2">
      <c r="A70" s="177"/>
      <c r="B70" s="177" t="s">
        <v>4264</v>
      </c>
      <c r="C70" s="262" t="str">
        <f>IFERROR(VLOOKUP(B70,'ПО КОРИСНИЦИМА'!$C$16:$S$1823,5,FALSE),"")</f>
        <v/>
      </c>
      <c r="D70" s="248">
        <f>SUMIF('ПО КОРИСНИЦИМА'!$G$16:$G$1823,"Свега за пројекат 0601-П22:",'ПО КОРИСНИЦИМА'!$H$16:$H$1823)</f>
        <v>0</v>
      </c>
      <c r="E70" s="248"/>
      <c r="F70" s="280"/>
      <c r="G70" s="249">
        <f>SUMIF('ПО КОРИСНИЦИМА'!$G$16:$G$1823,"Свега за пројекат 0601-П22:",'ПО КОРИСНИЦИМА'!$L$16:$L$1823)</f>
        <v>0</v>
      </c>
      <c r="H70" s="249"/>
      <c r="I70" s="287"/>
      <c r="J70" s="246">
        <f t="shared" si="5"/>
        <v>0</v>
      </c>
      <c r="K70" s="246"/>
      <c r="L70" s="279"/>
    </row>
    <row r="71" spans="1:12" hidden="1" x14ac:dyDescent="0.2">
      <c r="A71" s="177"/>
      <c r="B71" s="177" t="s">
        <v>4265</v>
      </c>
      <c r="C71" s="262" t="str">
        <f>IFERROR(VLOOKUP(B71,'ПО КОРИСНИЦИМА'!$C$16:$S$1823,5,FALSE),"")</f>
        <v/>
      </c>
      <c r="D71" s="248">
        <f>SUMIF('ПО КОРИСНИЦИМА'!$G$16:$G$1823,"Свега за пројекат 0601-П23:",'ПО КОРИСНИЦИМА'!$H$16:$H$1823)</f>
        <v>0</v>
      </c>
      <c r="E71" s="248"/>
      <c r="F71" s="280"/>
      <c r="G71" s="249">
        <f>SUMIF('ПО КОРИСНИЦИМА'!$G$16:$G$1823,"Свега за пројекат 0601-П23:",'ПО КОРИСНИЦИМА'!$L$16:$L$1823)</f>
        <v>0</v>
      </c>
      <c r="H71" s="249"/>
      <c r="I71" s="287"/>
      <c r="J71" s="246">
        <f t="shared" si="5"/>
        <v>0</v>
      </c>
      <c r="K71" s="246"/>
      <c r="L71" s="279"/>
    </row>
    <row r="72" spans="1:12" hidden="1" x14ac:dyDescent="0.2">
      <c r="A72" s="177"/>
      <c r="B72" s="177" t="s">
        <v>4266</v>
      </c>
      <c r="C72" s="262" t="str">
        <f>IFERROR(VLOOKUP(B72,'ПО КОРИСНИЦИМА'!$C$16:$S$1823,5,FALSE),"")</f>
        <v/>
      </c>
      <c r="D72" s="248">
        <f>SUMIF('ПО КОРИСНИЦИМА'!$G$16:$G$1823,"Свега за пројекат 0601-П24:",'ПО КОРИСНИЦИМА'!$H$16:$H$1823)</f>
        <v>0</v>
      </c>
      <c r="E72" s="248"/>
      <c r="F72" s="280"/>
      <c r="G72" s="249">
        <f>SUMIF('ПО КОРИСНИЦИМА'!$G$16:$G$1823,"Свега за пројекат 0601-П24:",'ПО КОРИСНИЦИМА'!$L$16:$L$1823)</f>
        <v>0</v>
      </c>
      <c r="H72" s="249"/>
      <c r="I72" s="287"/>
      <c r="J72" s="246">
        <f t="shared" si="5"/>
        <v>0</v>
      </c>
      <c r="K72" s="246"/>
      <c r="L72" s="279"/>
    </row>
    <row r="73" spans="1:12" hidden="1" x14ac:dyDescent="0.2">
      <c r="A73" s="177"/>
      <c r="B73" s="177" t="s">
        <v>4267</v>
      </c>
      <c r="C73" s="262" t="str">
        <f>IFERROR(VLOOKUP(B73,'ПО КОРИСНИЦИМА'!$C$16:$S$1823,5,FALSE),"")</f>
        <v/>
      </c>
      <c r="D73" s="248">
        <f>SUMIF('ПО КОРИСНИЦИМА'!$G$16:$G$1823,"Свега за пројекат 0601-П25:",'ПО КОРИСНИЦИМА'!$H$16:$H$1823)</f>
        <v>0</v>
      </c>
      <c r="E73" s="248"/>
      <c r="F73" s="280"/>
      <c r="G73" s="249">
        <f>SUMIF('ПО КОРИСНИЦИМА'!$G$16:$G$1823,"Свега за пројекат 0601-П25:",'ПО КОРИСНИЦИМА'!$L$16:$L$1823)</f>
        <v>0</v>
      </c>
      <c r="H73" s="249"/>
      <c r="I73" s="287"/>
      <c r="J73" s="246">
        <f t="shared" si="5"/>
        <v>0</v>
      </c>
      <c r="K73" s="246"/>
      <c r="L73" s="279"/>
    </row>
    <row r="74" spans="1:12" hidden="1" x14ac:dyDescent="0.2">
      <c r="A74" s="177"/>
      <c r="B74" s="177" t="s">
        <v>4268</v>
      </c>
      <c r="C74" s="262" t="str">
        <f>IFERROR(VLOOKUP(B74,'ПО КОРИСНИЦИМА'!$C$16:$S$1823,5,FALSE),"")</f>
        <v/>
      </c>
      <c r="D74" s="248">
        <f>SUMIF('ПО КОРИСНИЦИМА'!$G$16:$G$1823,"Свега за пројекат 0601-П26:",'ПО КОРИСНИЦИМА'!$H$16:$H$1823)</f>
        <v>0</v>
      </c>
      <c r="E74" s="248"/>
      <c r="F74" s="280"/>
      <c r="G74" s="249">
        <f>SUMIF('ПО КОРИСНИЦИМА'!$G$16:$G$1823,"Свега за пројекат 0601-П26:",'ПО КОРИСНИЦИМА'!$L$16:$L$1823)</f>
        <v>0</v>
      </c>
      <c r="H74" s="249"/>
      <c r="I74" s="287"/>
      <c r="J74" s="246">
        <f t="shared" si="5"/>
        <v>0</v>
      </c>
      <c r="K74" s="246"/>
      <c r="L74" s="279"/>
    </row>
    <row r="75" spans="1:12" hidden="1" x14ac:dyDescent="0.2">
      <c r="A75" s="177"/>
      <c r="B75" s="177" t="s">
        <v>4269</v>
      </c>
      <c r="C75" s="262" t="str">
        <f>IFERROR(VLOOKUP(B75,'ПО КОРИСНИЦИМА'!$C$16:$S$1823,5,FALSE),"")</f>
        <v/>
      </c>
      <c r="D75" s="248">
        <f>SUMIF('ПО КОРИСНИЦИМА'!$G$16:$G$1823,"Свега за пројекат 0601-П27:",'ПО КОРИСНИЦИМА'!$H$16:$H$1823)</f>
        <v>0</v>
      </c>
      <c r="E75" s="248"/>
      <c r="F75" s="280"/>
      <c r="G75" s="249">
        <f>SUMIF('ПО КОРИСНИЦИМА'!$G$16:$G$1823,"Свега за пројекат 0601-П27:",'ПО КОРИСНИЦИМА'!$L$16:$L$1823)</f>
        <v>0</v>
      </c>
      <c r="H75" s="249"/>
      <c r="I75" s="287"/>
      <c r="J75" s="246">
        <f t="shared" si="5"/>
        <v>0</v>
      </c>
      <c r="K75" s="246"/>
      <c r="L75" s="279"/>
    </row>
    <row r="76" spans="1:12" hidden="1" x14ac:dyDescent="0.2">
      <c r="A76" s="177"/>
      <c r="B76" s="177" t="s">
        <v>4270</v>
      </c>
      <c r="C76" s="262" t="str">
        <f>IFERROR(VLOOKUP(B76,'ПО КОРИСНИЦИМА'!$C$16:$S$1823,5,FALSE),"")</f>
        <v/>
      </c>
      <c r="D76" s="248">
        <f>SUMIF('ПО КОРИСНИЦИМА'!$G$16:$G$1823,"Свега за пројекат 0601-П28:",'ПО КОРИСНИЦИМА'!$H$16:$H$1823)</f>
        <v>0</v>
      </c>
      <c r="E76" s="248"/>
      <c r="F76" s="280"/>
      <c r="G76" s="249">
        <f>SUMIF('ПО КОРИСНИЦИМА'!$G$16:$G$1823,"Свега за пројекат 0601-П28:",'ПО КОРИСНИЦИМА'!$L$16:$L$1823)</f>
        <v>0</v>
      </c>
      <c r="H76" s="249"/>
      <c r="I76" s="287"/>
      <c r="J76" s="246">
        <f t="shared" si="5"/>
        <v>0</v>
      </c>
      <c r="K76" s="246"/>
      <c r="L76" s="279"/>
    </row>
    <row r="77" spans="1:12" hidden="1" x14ac:dyDescent="0.2">
      <c r="A77" s="177"/>
      <c r="B77" s="177" t="s">
        <v>4271</v>
      </c>
      <c r="C77" s="262" t="str">
        <f>IFERROR(VLOOKUP(B77,'ПО КОРИСНИЦИМА'!$C$16:$S$1823,5,FALSE),"")</f>
        <v/>
      </c>
      <c r="D77" s="248">
        <f>SUMIF('ПО КОРИСНИЦИМА'!$G$16:$G$1823,"Свега за пројекат 0601-П29:",'ПО КОРИСНИЦИМА'!$H$16:$H$1823)</f>
        <v>0</v>
      </c>
      <c r="E77" s="248"/>
      <c r="F77" s="280"/>
      <c r="G77" s="249">
        <f>SUMIF('ПО КОРИСНИЦИМА'!$G$16:$G$1823,"Свега за пројекат 0601-П29:",'ПО КОРИСНИЦИМА'!$L$16:$L$1823)</f>
        <v>0</v>
      </c>
      <c r="H77" s="249"/>
      <c r="I77" s="287"/>
      <c r="J77" s="246">
        <f t="shared" si="5"/>
        <v>0</v>
      </c>
      <c r="K77" s="246"/>
      <c r="L77" s="279"/>
    </row>
    <row r="78" spans="1:12" hidden="1" x14ac:dyDescent="0.2">
      <c r="A78" s="177"/>
      <c r="B78" s="177" t="s">
        <v>4272</v>
      </c>
      <c r="C78" s="262" t="str">
        <f>IFERROR(VLOOKUP(B78,'ПО КОРИСНИЦИМА'!$C$16:$S$1823,5,FALSE),"")</f>
        <v/>
      </c>
      <c r="D78" s="248">
        <f>SUMIF('ПО КОРИСНИЦИМА'!$G$16:$G$1823,"Свега за пројекат 0601-П30:",'ПО КОРИСНИЦИМА'!$H$16:$H$1823)</f>
        <v>0</v>
      </c>
      <c r="E78" s="248"/>
      <c r="F78" s="280"/>
      <c r="G78" s="249">
        <f>SUMIF('ПО КОРИСНИЦИМА'!$G$16:$G$1823,"Свега за пројекат 0601-П30:",'ПО КОРИСНИЦИМА'!$L$16:$L$1823)</f>
        <v>0</v>
      </c>
      <c r="H78" s="249"/>
      <c r="I78" s="287"/>
      <c r="J78" s="246">
        <f t="shared" si="5"/>
        <v>0</v>
      </c>
      <c r="K78" s="246"/>
      <c r="L78" s="279"/>
    </row>
    <row r="79" spans="1:12" hidden="1" x14ac:dyDescent="0.2">
      <c r="A79" s="177"/>
      <c r="B79" s="177" t="s">
        <v>4273</v>
      </c>
      <c r="C79" s="262" t="str">
        <f>IFERROR(VLOOKUP(B79,'ПО КОРИСНИЦИМА'!$C$16:$S$1823,5,FALSE),"")</f>
        <v/>
      </c>
      <c r="D79" s="248">
        <f>SUMIF('ПО КОРИСНИЦИМА'!$G$16:$G$1823,"Свега за пројекат 0601-П31:",'ПО КОРИСНИЦИМА'!$H$16:$H$1823)</f>
        <v>0</v>
      </c>
      <c r="E79" s="248"/>
      <c r="F79" s="280"/>
      <c r="G79" s="249">
        <f>SUMIF('ПО КОРИСНИЦИМА'!$G$16:$G$1823,"Свега за пројекат 0601-П31:",'ПО КОРИСНИЦИМА'!$L$16:$L$1823)</f>
        <v>0</v>
      </c>
      <c r="H79" s="249"/>
      <c r="I79" s="287"/>
      <c r="J79" s="246">
        <f t="shared" si="5"/>
        <v>0</v>
      </c>
      <c r="K79" s="246"/>
      <c r="L79" s="279"/>
    </row>
    <row r="80" spans="1:12" hidden="1" x14ac:dyDescent="0.2">
      <c r="A80" s="177"/>
      <c r="B80" s="177" t="s">
        <v>4274</v>
      </c>
      <c r="C80" s="262" t="str">
        <f>IFERROR(VLOOKUP(B80,'ПО КОРИСНИЦИМА'!$C$16:$S$1823,5,FALSE),"")</f>
        <v/>
      </c>
      <c r="D80" s="248">
        <f>SUMIF('ПО КОРИСНИЦИМА'!$G$16:$G$1823,"Свега за пројекат 0601-П32:",'ПО КОРИСНИЦИМА'!$H$16:$H$1823)</f>
        <v>0</v>
      </c>
      <c r="E80" s="248"/>
      <c r="F80" s="280"/>
      <c r="G80" s="249">
        <f>SUMIF('ПО КОРИСНИЦИМА'!$G$16:$G$1823,"Свега за пројекат 0601-П32:",'ПО КОРИСНИЦИМА'!$L$16:$L$1823)</f>
        <v>0</v>
      </c>
      <c r="H80" s="249"/>
      <c r="I80" s="287"/>
      <c r="J80" s="246">
        <f t="shared" si="5"/>
        <v>0</v>
      </c>
      <c r="K80" s="246"/>
      <c r="L80" s="279"/>
    </row>
    <row r="81" spans="1:12" hidden="1" x14ac:dyDescent="0.2">
      <c r="A81" s="177"/>
      <c r="B81" s="177" t="s">
        <v>4275</v>
      </c>
      <c r="C81" s="262" t="str">
        <f>IFERROR(VLOOKUP(B81,'ПО КОРИСНИЦИМА'!$C$16:$S$1823,5,FALSE),"")</f>
        <v/>
      </c>
      <c r="D81" s="248">
        <f>SUMIF('ПО КОРИСНИЦИМА'!$G$16:$G$1823,"Свега за пројекат 0601-П33:",'ПО КОРИСНИЦИМА'!$H$16:$H$1823)</f>
        <v>0</v>
      </c>
      <c r="E81" s="248"/>
      <c r="F81" s="280"/>
      <c r="G81" s="249">
        <f>SUMIF('ПО КОРИСНИЦИМА'!$G$16:$G$1823,"Свега за пројекат 0601-П33:",'ПО КОРИСНИЦИМА'!$L$16:$L$1823)</f>
        <v>0</v>
      </c>
      <c r="H81" s="249"/>
      <c r="I81" s="287"/>
      <c r="J81" s="246">
        <f t="shared" si="5"/>
        <v>0</v>
      </c>
      <c r="K81" s="246"/>
      <c r="L81" s="279"/>
    </row>
    <row r="82" spans="1:12" hidden="1" x14ac:dyDescent="0.2">
      <c r="A82" s="177"/>
      <c r="B82" s="177" t="s">
        <v>4276</v>
      </c>
      <c r="C82" s="262" t="str">
        <f>IFERROR(VLOOKUP(B82,'ПО КОРИСНИЦИМА'!$C$16:$S$1823,5,FALSE),"")</f>
        <v/>
      </c>
      <c r="D82" s="248">
        <f>SUMIF('ПО КОРИСНИЦИМА'!$G$16:$G$1823,"Свега за пројекат 0601-П34:",'ПО КОРИСНИЦИМА'!$H$16:$H$1823)</f>
        <v>0</v>
      </c>
      <c r="E82" s="248"/>
      <c r="F82" s="280"/>
      <c r="G82" s="249">
        <f>SUMIF('ПО КОРИСНИЦИМА'!$G$16:$G$1823,"Свега за пројекат 0601-П34:",'ПО КОРИСНИЦИМА'!$L$16:$L$1823)</f>
        <v>0</v>
      </c>
      <c r="H82" s="249"/>
      <c r="I82" s="287"/>
      <c r="J82" s="246">
        <f t="shared" si="5"/>
        <v>0</v>
      </c>
      <c r="K82" s="246"/>
      <c r="L82" s="279"/>
    </row>
    <row r="83" spans="1:12" hidden="1" x14ac:dyDescent="0.2">
      <c r="A83" s="177"/>
      <c r="B83" s="177" t="s">
        <v>4277</v>
      </c>
      <c r="C83" s="262" t="str">
        <f>IFERROR(VLOOKUP(B83,'ПО КОРИСНИЦИМА'!$C$16:$S$1823,5,FALSE),"")</f>
        <v/>
      </c>
      <c r="D83" s="248">
        <f>SUMIF('ПО КОРИСНИЦИМА'!$G$16:$G$1823,"Свега за пројекат 0601-П35:",'ПО КОРИСНИЦИМА'!$H$16:$H$1823)</f>
        <v>0</v>
      </c>
      <c r="E83" s="248"/>
      <c r="F83" s="280"/>
      <c r="G83" s="249">
        <f>SUMIF('ПО КОРИСНИЦИМА'!$G$16:$G$1823,"Свега за пројекат 0601-П35:",'ПО КОРИСНИЦИМА'!$L$16:$L$1823)</f>
        <v>0</v>
      </c>
      <c r="H83" s="249"/>
      <c r="I83" s="287"/>
      <c r="J83" s="246">
        <f t="shared" si="5"/>
        <v>0</v>
      </c>
      <c r="K83" s="246"/>
      <c r="L83" s="279"/>
    </row>
    <row r="84" spans="1:12" hidden="1" x14ac:dyDescent="0.2">
      <c r="A84" s="177"/>
      <c r="B84" s="177" t="s">
        <v>4278</v>
      </c>
      <c r="C84" s="262" t="str">
        <f>IFERROR(VLOOKUP(B84,'ПО КОРИСНИЦИМА'!$C$16:$S$1823,5,FALSE),"")</f>
        <v/>
      </c>
      <c r="D84" s="248">
        <f>SUMIF('ПО КОРИСНИЦИМА'!$G$16:$G$1823,"Свега за пројекат 0601-П36:",'ПО КОРИСНИЦИМА'!$H$16:$H$1823)</f>
        <v>0</v>
      </c>
      <c r="E84" s="248"/>
      <c r="F84" s="280"/>
      <c r="G84" s="249">
        <f>SUMIF('ПО КОРИСНИЦИМА'!$G$16:$G$1823,"Свега за пројекат 0601-П36:",'ПО КОРИСНИЦИМА'!$L$16:$L$1823)</f>
        <v>0</v>
      </c>
      <c r="H84" s="249"/>
      <c r="I84" s="287"/>
      <c r="J84" s="246">
        <f t="shared" si="5"/>
        <v>0</v>
      </c>
      <c r="K84" s="246"/>
      <c r="L84" s="279"/>
    </row>
    <row r="85" spans="1:12" hidden="1" x14ac:dyDescent="0.2">
      <c r="A85" s="177"/>
      <c r="B85" s="177" t="s">
        <v>4279</v>
      </c>
      <c r="C85" s="262" t="str">
        <f>IFERROR(VLOOKUP(B85,'ПО КОРИСНИЦИМА'!$C$16:$S$1823,5,FALSE),"")</f>
        <v/>
      </c>
      <c r="D85" s="248">
        <f>SUMIF('ПО КОРИСНИЦИМА'!$G$16:$G$1823,"Свега за пројекат 0601-П37:",'ПО КОРИСНИЦИМА'!$H$16:$H$1823)</f>
        <v>0</v>
      </c>
      <c r="E85" s="248"/>
      <c r="F85" s="280"/>
      <c r="G85" s="249">
        <f>SUMIF('ПО КОРИСНИЦИМА'!$G$16:$G$1823,"Свега за пројекат 0601-П37:",'ПО КОРИСНИЦИМА'!$L$16:$L$1823)</f>
        <v>0</v>
      </c>
      <c r="H85" s="249"/>
      <c r="I85" s="287"/>
      <c r="J85" s="246">
        <f t="shared" si="5"/>
        <v>0</v>
      </c>
      <c r="K85" s="246"/>
      <c r="L85" s="279"/>
    </row>
    <row r="86" spans="1:12" hidden="1" x14ac:dyDescent="0.2">
      <c r="A86" s="179"/>
      <c r="B86" s="177" t="s">
        <v>4280</v>
      </c>
      <c r="C86" s="262" t="str">
        <f>IFERROR(VLOOKUP(B86,'ПО КОРИСНИЦИМА'!$C$16:$S$1823,5,FALSE),"")</f>
        <v/>
      </c>
      <c r="D86" s="248">
        <f>SUMIF('ПО КОРИСНИЦИМА'!$G$16:$G$1823,"Свега за пројекат 0601-П38:",'ПО КОРИСНИЦИМА'!$H$16:$H$1823)</f>
        <v>0</v>
      </c>
      <c r="E86" s="248"/>
      <c r="F86" s="280"/>
      <c r="G86" s="249">
        <f>SUMIF('ПО КОРИСНИЦИМА'!$G$16:$G$1823,"Свега за пројекат 0601-П38:",'ПО КОРИСНИЦИМА'!$L$16:$L$1823)</f>
        <v>0</v>
      </c>
      <c r="H86" s="249"/>
      <c r="I86" s="287"/>
      <c r="J86" s="246">
        <f t="shared" si="5"/>
        <v>0</v>
      </c>
      <c r="K86" s="272"/>
      <c r="L86" s="294"/>
    </row>
    <row r="87" spans="1:12" hidden="1" x14ac:dyDescent="0.2">
      <c r="A87" s="177"/>
      <c r="B87" s="177" t="s">
        <v>4281</v>
      </c>
      <c r="C87" s="262" t="str">
        <f>IFERROR(VLOOKUP(B87,'ПО КОРИСНИЦИМА'!$C$16:$S$1823,5,FALSE),"")</f>
        <v/>
      </c>
      <c r="D87" s="248">
        <f>SUMIF('ПО КОРИСНИЦИМА'!$G$16:$G$1823,"Свега за пројекат 0601-П39:",'ПО КОРИСНИЦИМА'!$H$16:$H$1823)</f>
        <v>0</v>
      </c>
      <c r="E87" s="248"/>
      <c r="F87" s="280"/>
      <c r="G87" s="249">
        <f>SUMIF('ПО КОРИСНИЦИМА'!$G$16:$G$1823,"Свега за пројекат 0601-П39:",'ПО КОРИСНИЦИМА'!$L$16:$L$1823)</f>
        <v>0</v>
      </c>
      <c r="H87" s="249"/>
      <c r="I87" s="287"/>
      <c r="J87" s="246">
        <f t="shared" si="5"/>
        <v>0</v>
      </c>
      <c r="K87" s="246"/>
      <c r="L87" s="279"/>
    </row>
    <row r="88" spans="1:12" hidden="1" x14ac:dyDescent="0.2">
      <c r="A88" s="177"/>
      <c r="B88" s="177" t="s">
        <v>4282</v>
      </c>
      <c r="C88" s="262" t="str">
        <f>IFERROR(VLOOKUP(B88,'ПО КОРИСНИЦИМА'!$C$16:$S$1823,5,FALSE),"")</f>
        <v/>
      </c>
      <c r="D88" s="248">
        <f>SUMIF('ПО КОРИСНИЦИМА'!$G$16:$G$1823,"Свега за пројекат 0601-П40:",'ПО КОРИСНИЦИМА'!$H$16:$H$1823)</f>
        <v>0</v>
      </c>
      <c r="E88" s="248"/>
      <c r="F88" s="280"/>
      <c r="G88" s="249">
        <f>SUMIF('ПО КОРИСНИЦИМА'!$G$16:$G$1823,"Свега за пројекат 0601-П40:",'ПО КОРИСНИЦИМА'!$L$16:$L$1823)</f>
        <v>0</v>
      </c>
      <c r="H88" s="249"/>
      <c r="I88" s="287"/>
      <c r="J88" s="246">
        <f t="shared" si="5"/>
        <v>0</v>
      </c>
      <c r="K88" s="246"/>
      <c r="L88" s="279"/>
    </row>
    <row r="89" spans="1:12" hidden="1" x14ac:dyDescent="0.2">
      <c r="A89" s="177"/>
      <c r="B89" s="177" t="s">
        <v>4283</v>
      </c>
      <c r="C89" s="262" t="str">
        <f>IFERROR(VLOOKUP(B89,'ПО КОРИСНИЦИМА'!$C$16:$S$1823,5,FALSE),"")</f>
        <v/>
      </c>
      <c r="D89" s="248">
        <f>SUMIF('ПО КОРИСНИЦИМА'!$G$16:$G$1823,"Свега за пројекат 0601-П41:",'ПО КОРИСНИЦИМА'!$H$16:$H$1823)</f>
        <v>0</v>
      </c>
      <c r="E89" s="248"/>
      <c r="F89" s="280"/>
      <c r="G89" s="249">
        <f>SUMIF('ПО КОРИСНИЦИМА'!$G$16:$G$1823,"Свега за пројекат 0601-П41:",'ПО КОРИСНИЦИМА'!$L$16:$L$1823)</f>
        <v>0</v>
      </c>
      <c r="H89" s="249"/>
      <c r="I89" s="287"/>
      <c r="J89" s="246">
        <f t="shared" si="5"/>
        <v>0</v>
      </c>
      <c r="K89" s="246"/>
      <c r="L89" s="279"/>
    </row>
    <row r="90" spans="1:12" hidden="1" x14ac:dyDescent="0.2">
      <c r="A90" s="177"/>
      <c r="B90" s="177" t="s">
        <v>4284</v>
      </c>
      <c r="C90" s="262" t="str">
        <f>IFERROR(VLOOKUP(B90,'ПО КОРИСНИЦИМА'!$C$16:$S$1823,5,FALSE),"")</f>
        <v/>
      </c>
      <c r="D90" s="248">
        <f>SUMIF('ПО КОРИСНИЦИМА'!$G$16:$G$1823,"Свега за пројекат 0601-П42:",'ПО КОРИСНИЦИМА'!$H$16:$H$1823)</f>
        <v>0</v>
      </c>
      <c r="E90" s="248"/>
      <c r="F90" s="280"/>
      <c r="G90" s="249">
        <f>SUMIF('ПО КОРИСНИЦИМА'!$G$16:$G$1823,"Свега за пројекат 0601-П42:",'ПО КОРИСНИЦИМА'!$L$16:$L$1823)</f>
        <v>0</v>
      </c>
      <c r="H90" s="249"/>
      <c r="I90" s="287"/>
      <c r="J90" s="246">
        <f t="shared" si="5"/>
        <v>0</v>
      </c>
      <c r="K90" s="246"/>
      <c r="L90" s="279"/>
    </row>
    <row r="91" spans="1:12" hidden="1" x14ac:dyDescent="0.2">
      <c r="A91" s="177"/>
      <c r="B91" s="177" t="s">
        <v>4285</v>
      </c>
      <c r="C91" s="262" t="str">
        <f>IFERROR(VLOOKUP(B91,'ПО КОРИСНИЦИМА'!$C$16:$S$1823,5,FALSE),"")</f>
        <v/>
      </c>
      <c r="D91" s="248">
        <f>SUMIF('ПО КОРИСНИЦИМА'!$G$16:$G$1823,"Свега за пројекат 0601-П43:",'ПО КОРИСНИЦИМА'!$H$16:$H$1823)</f>
        <v>0</v>
      </c>
      <c r="E91" s="248"/>
      <c r="F91" s="280"/>
      <c r="G91" s="249">
        <f>SUMIF('ПО КОРИСНИЦИМА'!$G$16:$G$1823,"Свега за пројекат 0601-П43:",'ПО КОРИСНИЦИМА'!$L$16:$L$1823)</f>
        <v>0</v>
      </c>
      <c r="H91" s="249"/>
      <c r="I91" s="287"/>
      <c r="J91" s="246">
        <f t="shared" si="5"/>
        <v>0</v>
      </c>
      <c r="K91" s="246"/>
      <c r="L91" s="279"/>
    </row>
    <row r="92" spans="1:12" hidden="1" x14ac:dyDescent="0.2">
      <c r="A92" s="177"/>
      <c r="B92" s="177" t="s">
        <v>4286</v>
      </c>
      <c r="C92" s="262" t="str">
        <f>IFERROR(VLOOKUP(B92,'ПО КОРИСНИЦИМА'!$C$16:$S$1823,5,FALSE),"")</f>
        <v/>
      </c>
      <c r="D92" s="248">
        <f>SUMIF('ПО КОРИСНИЦИМА'!$G$16:$G$1823,"Свега за пројекат 0601-П44:",'ПО КОРИСНИЦИМА'!$H$16:$H$1823)</f>
        <v>0</v>
      </c>
      <c r="E92" s="248"/>
      <c r="F92" s="280"/>
      <c r="G92" s="249">
        <f>SUMIF('ПО КОРИСНИЦИМА'!$G$16:$G$1823,"Свега за пројекат 0601-П44:",'ПО КОРИСНИЦИМА'!$L$16:$L$1823)</f>
        <v>0</v>
      </c>
      <c r="H92" s="249"/>
      <c r="I92" s="287"/>
      <c r="J92" s="246">
        <f t="shared" si="5"/>
        <v>0</v>
      </c>
      <c r="K92" s="246"/>
      <c r="L92" s="279"/>
    </row>
    <row r="93" spans="1:12" hidden="1" x14ac:dyDescent="0.2">
      <c r="A93" s="177"/>
      <c r="B93" s="177" t="s">
        <v>4287</v>
      </c>
      <c r="C93" s="262" t="str">
        <f>IFERROR(VLOOKUP(B93,'ПО КОРИСНИЦИМА'!$C$16:$S$1823,5,FALSE),"")</f>
        <v/>
      </c>
      <c r="D93" s="248">
        <f>SUMIF('ПО КОРИСНИЦИМА'!$G$16:$G$1823,"Свега за пројекат 0601-П45:",'ПО КОРИСНИЦИМА'!$H$16:$H$1823)</f>
        <v>0</v>
      </c>
      <c r="E93" s="248"/>
      <c r="F93" s="280"/>
      <c r="G93" s="249">
        <f>SUMIF('ПО КОРИСНИЦИМА'!$G$16:$G$1823,"Свега за пројекат 0601-П45:",'ПО КОРИСНИЦИМА'!$L$16:$L$1823)</f>
        <v>0</v>
      </c>
      <c r="H93" s="249"/>
      <c r="I93" s="287"/>
      <c r="J93" s="246">
        <f t="shared" si="5"/>
        <v>0</v>
      </c>
      <c r="K93" s="246"/>
      <c r="L93" s="279"/>
    </row>
    <row r="94" spans="1:12" hidden="1" x14ac:dyDescent="0.2">
      <c r="A94" s="177"/>
      <c r="B94" s="177" t="s">
        <v>4288</v>
      </c>
      <c r="C94" s="262" t="str">
        <f>IFERROR(VLOOKUP(B94,'ПО КОРИСНИЦИМА'!$C$16:$S$1823,5,FALSE),"")</f>
        <v/>
      </c>
      <c r="D94" s="248">
        <f>SUMIF('ПО КОРИСНИЦИМА'!$G$16:$G$1823,"Свега за пројекат 0601-П46:",'ПО КОРИСНИЦИМА'!$H$16:$H$1823)</f>
        <v>0</v>
      </c>
      <c r="E94" s="248"/>
      <c r="F94" s="280"/>
      <c r="G94" s="249">
        <f>SUMIF('ПО КОРИСНИЦИМА'!$G$16:$G$1823,"Свега за пројекат 0601-П46:",'ПО КОРИСНИЦИМА'!$L$16:$L$1823)</f>
        <v>0</v>
      </c>
      <c r="H94" s="249"/>
      <c r="I94" s="287"/>
      <c r="J94" s="246">
        <f t="shared" si="5"/>
        <v>0</v>
      </c>
      <c r="K94" s="246"/>
      <c r="L94" s="279"/>
    </row>
    <row r="95" spans="1:12" hidden="1" x14ac:dyDescent="0.2">
      <c r="A95" s="177"/>
      <c r="B95" s="177" t="s">
        <v>4289</v>
      </c>
      <c r="C95" s="262" t="str">
        <f>IFERROR(VLOOKUP(B95,'ПО КОРИСНИЦИМА'!$C$16:$S$1823,5,FALSE),"")</f>
        <v/>
      </c>
      <c r="D95" s="248">
        <f>SUMIF('ПО КОРИСНИЦИМА'!$G$16:$G$1823,"Свега за пројекат 0601-П47:",'ПО КОРИСНИЦИМА'!$H$16:$H$1823)</f>
        <v>0</v>
      </c>
      <c r="E95" s="248"/>
      <c r="F95" s="280"/>
      <c r="G95" s="249">
        <f>SUMIF('ПО КОРИСНИЦИМА'!$G$16:$G$1823,"Свега за пројекат 0601-П47:",'ПО КОРИСНИЦИМА'!$L$16:$L$1823)</f>
        <v>0</v>
      </c>
      <c r="H95" s="249"/>
      <c r="I95" s="287"/>
      <c r="J95" s="246">
        <f t="shared" si="5"/>
        <v>0</v>
      </c>
      <c r="K95" s="246"/>
      <c r="L95" s="279"/>
    </row>
    <row r="96" spans="1:12" hidden="1" x14ac:dyDescent="0.2">
      <c r="A96" s="177"/>
      <c r="B96" s="177" t="s">
        <v>4290</v>
      </c>
      <c r="C96" s="262" t="str">
        <f>IFERROR(VLOOKUP(B96,'ПО КОРИСНИЦИМА'!$C$16:$S$1823,5,FALSE),"")</f>
        <v/>
      </c>
      <c r="D96" s="248">
        <f>SUMIF('ПО КОРИСНИЦИМА'!$G$16:$G$1823,"Свега за пројекат 0601-П48:",'ПО КОРИСНИЦИМА'!$H$16:$H$1823)</f>
        <v>0</v>
      </c>
      <c r="E96" s="248"/>
      <c r="F96" s="280"/>
      <c r="G96" s="249">
        <f>SUMIF('ПО КОРИСНИЦИМА'!$G$16:$G$1823,"Свега за пројекат 0601-П48:",'ПО КОРИСНИЦИМА'!$L$16:$L$1823)</f>
        <v>0</v>
      </c>
      <c r="H96" s="249"/>
      <c r="I96" s="287"/>
      <c r="J96" s="246">
        <f t="shared" si="5"/>
        <v>0</v>
      </c>
      <c r="K96" s="246"/>
      <c r="L96" s="279"/>
    </row>
    <row r="97" spans="1:12" hidden="1" x14ac:dyDescent="0.2">
      <c r="A97" s="177"/>
      <c r="B97" s="177" t="s">
        <v>4291</v>
      </c>
      <c r="C97" s="262" t="str">
        <f>IFERROR(VLOOKUP(B97,'ПО КОРИСНИЦИМА'!$C$16:$S$1823,5,FALSE),"")</f>
        <v/>
      </c>
      <c r="D97" s="248">
        <f>SUMIF('ПО КОРИСНИЦИМА'!$G$16:$G$1823,"Свега за пројекат 0601-П49:",'ПО КОРИСНИЦИМА'!$H$16:$H$1823)</f>
        <v>0</v>
      </c>
      <c r="E97" s="248"/>
      <c r="F97" s="280"/>
      <c r="G97" s="249">
        <f>SUMIF('ПО КОРИСНИЦИМА'!$G$16:$G$1823,"Свега за пројекат 0601-П49:",'ПО КОРИСНИЦИМА'!$L$16:$L$1823)</f>
        <v>0</v>
      </c>
      <c r="H97" s="249"/>
      <c r="I97" s="287"/>
      <c r="J97" s="246">
        <f t="shared" si="5"/>
        <v>0</v>
      </c>
      <c r="K97" s="246"/>
      <c r="L97" s="279"/>
    </row>
    <row r="98" spans="1:12" hidden="1" x14ac:dyDescent="0.2">
      <c r="A98" s="188"/>
      <c r="B98" s="188" t="s">
        <v>4292</v>
      </c>
      <c r="C98" s="263" t="str">
        <f>IFERROR(VLOOKUP(B98,'ПО КОРИСНИЦИМА'!$C$16:$S$1823,5,FALSE),"")</f>
        <v/>
      </c>
      <c r="D98" s="250">
        <f>SUMIF('ПО КОРИСНИЦИМА'!$G$16:$G$1823,"Свега за пројекат 0601-П50:",'ПО КОРИСНИЦИМА'!$H$16:$H$1823)</f>
        <v>0</v>
      </c>
      <c r="E98" s="250"/>
      <c r="F98" s="281"/>
      <c r="G98" s="251">
        <f>SUMIF('ПО КОРИСНИЦИМА'!$G$16:$G$1823,"Свега за пројекат 0601-П50:",'ПО КОРИСНИЦИМА'!$L$16:$L$1823)</f>
        <v>0</v>
      </c>
      <c r="H98" s="251"/>
      <c r="I98" s="288"/>
      <c r="J98" s="252">
        <f t="shared" si="5"/>
        <v>0</v>
      </c>
      <c r="K98" s="252"/>
      <c r="L98" s="293"/>
    </row>
    <row r="99" spans="1:12" ht="25.5" x14ac:dyDescent="0.2">
      <c r="A99" s="173" t="s">
        <v>3567</v>
      </c>
      <c r="B99" s="174"/>
      <c r="C99" s="260" t="s">
        <v>3669</v>
      </c>
      <c r="D99" s="242">
        <f>SUM(D100:D128)</f>
        <v>8497737.8100000005</v>
      </c>
      <c r="E99" s="242">
        <f>SUM(E100:E128)</f>
        <v>3813773.6399999997</v>
      </c>
      <c r="F99" s="282">
        <f t="shared" ref="F99:F104" si="6">E99/D99</f>
        <v>0.44879869504940628</v>
      </c>
      <c r="G99" s="243">
        <f>SUM(G100:G128)</f>
        <v>44254118.390000001</v>
      </c>
      <c r="H99" s="243">
        <f>SUM(H101:H105)</f>
        <v>0</v>
      </c>
      <c r="I99" s="289"/>
      <c r="J99" s="242">
        <f t="shared" si="5"/>
        <v>52751856.200000003</v>
      </c>
      <c r="K99" s="242">
        <f>E99+H99</f>
        <v>3813773.6399999997</v>
      </c>
      <c r="L99" s="282">
        <f t="shared" ref="L99:L104" si="7">K99/J99</f>
        <v>7.2296482336862283E-2</v>
      </c>
    </row>
    <row r="100" spans="1:12" hidden="1" x14ac:dyDescent="0.2">
      <c r="A100" s="175"/>
      <c r="B100" s="175" t="s">
        <v>4047</v>
      </c>
      <c r="C100" s="264" t="s">
        <v>4048</v>
      </c>
      <c r="D100" s="244">
        <f>SUMIF('ПО КОРИСНИЦИМА'!$G$16:$G$1823,"Свега за програмску активност 1501-0001:",'ПО КОРИСНИЦИМА'!$H$16:$H$1823)</f>
        <v>0</v>
      </c>
      <c r="E100" s="244"/>
      <c r="F100" s="278" t="e">
        <f t="shared" si="6"/>
        <v>#DIV/0!</v>
      </c>
      <c r="G100" s="245">
        <f>SUMIF('ПО КОРИСНИЦИМА'!$G$16:$G$1823,"Свега за програмску активност 1501-0001:",'ПО КОРИСНИЦИМА'!$L$16:$L$1823)</f>
        <v>0</v>
      </c>
      <c r="H100" s="245"/>
      <c r="I100" s="285"/>
      <c r="J100" s="244">
        <f t="shared" si="5"/>
        <v>0</v>
      </c>
      <c r="K100" s="244"/>
      <c r="L100" s="278" t="e">
        <f t="shared" si="7"/>
        <v>#DIV/0!</v>
      </c>
    </row>
    <row r="101" spans="1:12" ht="25.5" x14ac:dyDescent="0.2">
      <c r="A101" s="177"/>
      <c r="B101" s="177" t="s">
        <v>4049</v>
      </c>
      <c r="C101" s="265" t="s">
        <v>5106</v>
      </c>
      <c r="D101" s="246">
        <f>SUMIF('ПО КОРИСНИЦИМА'!$G$16:$G$1823,"Свега за програмску активност 1501-0002:",'ПО КОРИСНИЦИМА'!$H$16:$H$1823)</f>
        <v>4100000</v>
      </c>
      <c r="E101" s="246">
        <f>SUMIF('ПО КОРИСНИЦИМА'!$G$16:$G$1823,"Свега за програмску активност 1501-0002:",'ПО КОРИСНИЦИМА'!$I$16:$I$1823)</f>
        <v>3813773.6399999997</v>
      </c>
      <c r="F101" s="279">
        <f t="shared" si="6"/>
        <v>0.9301886926829267</v>
      </c>
      <c r="G101" s="247">
        <f>SUMIF('ПО КОРИСНИЦИМА'!$G$16:$G$1823,"Свега за програмску активност 1501-0002:",'ПО КОРИСНИЦИМА'!$L$16:$L$1823)</f>
        <v>0</v>
      </c>
      <c r="H101" s="247">
        <v>0</v>
      </c>
      <c r="I101" s="286"/>
      <c r="J101" s="246">
        <f t="shared" si="5"/>
        <v>4100000</v>
      </c>
      <c r="K101" s="246">
        <f t="shared" si="5"/>
        <v>3813773.6399999997</v>
      </c>
      <c r="L101" s="279">
        <f t="shared" si="7"/>
        <v>0.9301886926829267</v>
      </c>
    </row>
    <row r="102" spans="1:12" hidden="1" x14ac:dyDescent="0.2">
      <c r="A102" s="177"/>
      <c r="B102" s="177" t="s">
        <v>4050</v>
      </c>
      <c r="C102" s="265" t="s">
        <v>4051</v>
      </c>
      <c r="D102" s="246">
        <f>SUMIF('ПО КОРИСНИЦИМА'!$G$16:$G$1823,"Свега за програмску активност 1501-0003:",'ПО КОРИСНИЦИМА'!$H$16:$H$1823)</f>
        <v>0</v>
      </c>
      <c r="E102" s="246">
        <f>SUMIF('ПО КОРИСНИЦИМА'!$G$16:$G$1823,"Свега за програмску активност 1501-0003:",'ПО КОРИСНИЦИМА'!$H$16:$H$1823)</f>
        <v>0</v>
      </c>
      <c r="F102" s="279" t="e">
        <f t="shared" si="6"/>
        <v>#DIV/0!</v>
      </c>
      <c r="G102" s="247">
        <f>SUMIF('ПО КОРИСНИЦИМА'!$G$16:$G$1823,"Свега за програмску активност 1501-0003:",'ПО КОРИСНИЦИМА'!$L$16:$L$1823)</f>
        <v>0</v>
      </c>
      <c r="H102" s="247"/>
      <c r="I102" s="286"/>
      <c r="J102" s="246">
        <f t="shared" si="5"/>
        <v>0</v>
      </c>
      <c r="K102" s="246">
        <f t="shared" si="5"/>
        <v>0</v>
      </c>
      <c r="L102" s="279" t="e">
        <f t="shared" si="7"/>
        <v>#DIV/0!</v>
      </c>
    </row>
    <row r="103" spans="1:12" hidden="1" x14ac:dyDescent="0.2">
      <c r="A103" s="177"/>
      <c r="B103" s="177"/>
      <c r="C103" s="265"/>
      <c r="D103" s="246">
        <f>SUMIF('ПО КОРИСНИЦИМА'!$G$16:$G$1823,"Свега за програмску активност 1501-0004:",'ПО КОРИСНИЦИМА'!$H$16:$H$1823)</f>
        <v>0</v>
      </c>
      <c r="E103" s="246">
        <f>SUMIF('ПО КОРИСНИЦИМА'!$G$16:$G$1823,"Свега за програмску активност 1501-0004:",'ПО КОРИСНИЦИМА'!$H$16:$H$1823)</f>
        <v>0</v>
      </c>
      <c r="F103" s="279" t="e">
        <f t="shared" si="6"/>
        <v>#DIV/0!</v>
      </c>
      <c r="G103" s="247">
        <f>SUMIF('ПО КОРИСНИЦИМА'!$G$16:$G$1823,"Свега за програмску активност 1501-0004:",'ПО КОРИСНИЦИМА'!$L$16:$L$1823)</f>
        <v>0</v>
      </c>
      <c r="H103" s="247"/>
      <c r="I103" s="286"/>
      <c r="J103" s="246">
        <f t="shared" si="5"/>
        <v>0</v>
      </c>
      <c r="K103" s="246">
        <f t="shared" si="5"/>
        <v>0</v>
      </c>
      <c r="L103" s="279" t="e">
        <f t="shared" si="7"/>
        <v>#DIV/0!</v>
      </c>
    </row>
    <row r="104" spans="1:12" hidden="1" x14ac:dyDescent="0.2">
      <c r="A104" s="177"/>
      <c r="B104" s="177"/>
      <c r="C104" s="265"/>
      <c r="D104" s="246">
        <f>SUMIF('ПО КОРИСНИЦИМА'!$G$16:$G$1823,"Свега за програмску активност 1501-0005:",'ПО КОРИСНИЦИМА'!$H$16:$H$1823)</f>
        <v>0</v>
      </c>
      <c r="E104" s="246">
        <f>SUMIF('ПО КОРИСНИЦИМА'!$G$16:$G$1823,"Свега за програмску активност 1501-0005:",'ПО КОРИСНИЦИМА'!$H$16:$H$1823)</f>
        <v>0</v>
      </c>
      <c r="F104" s="279" t="e">
        <f t="shared" si="6"/>
        <v>#DIV/0!</v>
      </c>
      <c r="G104" s="247">
        <f>SUMIF('ПО КОРИСНИЦИМА'!$G$16:$G$1823,"Свега за програмску активност 1501-0005:",'ПО КОРИСНИЦИМА'!$L$16:$L$1823)</f>
        <v>0</v>
      </c>
      <c r="H104" s="247">
        <f>SUMIF('ПО КОРИСНИЦИМА'!$G$16:$G$1823,"Свега за програмску активност 1501-0005:",'ПО КОРИСНИЦИМА'!$M$16:$M$1823)</f>
        <v>0</v>
      </c>
      <c r="I104" s="286"/>
      <c r="J104" s="246">
        <f t="shared" si="5"/>
        <v>0</v>
      </c>
      <c r="K104" s="246">
        <f t="shared" si="5"/>
        <v>0</v>
      </c>
      <c r="L104" s="279" t="e">
        <f t="shared" si="7"/>
        <v>#DIV/0!</v>
      </c>
    </row>
    <row r="105" spans="1:12" x14ac:dyDescent="0.2">
      <c r="A105" s="177"/>
      <c r="B105" s="177" t="s">
        <v>4293</v>
      </c>
      <c r="C105" s="262" t="str">
        <f>IFERROR(VLOOKUP(B105,'ПО КОРИСНИЦИМА'!$C$16:$S$1823,5,FALSE),"")</f>
        <v>Изградња индустријске зоне</v>
      </c>
      <c r="D105" s="248">
        <f>SUMIF('ПО КОРИСНИЦИМА'!$G$16:$G$1823,"Свега за пројекат 1501-П1:",'ПО КОРИСНИЦИМА'!$H$16:$H$1823)</f>
        <v>4397737.8100000005</v>
      </c>
      <c r="E105" s="248">
        <f>SUMIF('ПО КОРИСНИЦИМА'!$G$16:$G$1823,"Свега за пројекат 1501-П1:",'ПО КОРИСНИЦИМА'!$I$16:$I$1823)</f>
        <v>0</v>
      </c>
      <c r="F105" s="280">
        <f>E105/D105</f>
        <v>0</v>
      </c>
      <c r="G105" s="249">
        <f>SUMIF('ПО КОРИСНИЦИМА'!$G$16:$G$1823,"Свега за пројекат 1501-П1:",'ПО КОРИСНИЦИМА'!$L$16:$L$1823)</f>
        <v>19254118.390000001</v>
      </c>
      <c r="H105" s="249">
        <f>SUMIF('ПО КОРИСНИЦИМА'!$G$16:$G$1823,"Свега за пројекат 1501-П1:",'ПО КОРИСНИЦИМА'!$M$16:$M$1823)</f>
        <v>0</v>
      </c>
      <c r="I105" s="287">
        <f>H105/G105</f>
        <v>0</v>
      </c>
      <c r="J105" s="246">
        <f>D105+G105</f>
        <v>23651856.200000003</v>
      </c>
      <c r="K105" s="246">
        <f>E105+H105</f>
        <v>0</v>
      </c>
      <c r="L105" s="279">
        <f>K105/J105</f>
        <v>0</v>
      </c>
    </row>
    <row r="106" spans="1:12" x14ac:dyDescent="0.2">
      <c r="A106" s="177"/>
      <c r="B106" s="177" t="s">
        <v>4294</v>
      </c>
      <c r="C106" s="262" t="str">
        <f>IFERROR(VLOOKUP(B106,'ПО КОРИСНИЦИМА'!$C$16:$S$1823,5,FALSE),"")</f>
        <v>Геотермална бушотина</v>
      </c>
      <c r="D106" s="248">
        <f>SUMIF('ПО КОРИСНИЦИМА'!$G$16:$G$1823,"Свега за пројекат 1501-П2:",'ПО КОРИСНИЦИМА'!$H$16:$H$1823)</f>
        <v>0</v>
      </c>
      <c r="E106" s="248">
        <f>SUMIF('ПО КОРИСНИЦИМА'!$G$16:$G$1823,"Свега за пројекат 1501-П2:",'ПО КОРИСНИЦИМА'!$I$16:$I$1823)</f>
        <v>0</v>
      </c>
      <c r="F106" s="280" t="e">
        <f>E106/D106</f>
        <v>#DIV/0!</v>
      </c>
      <c r="G106" s="249">
        <f>SUMIF('ПО КОРИСНИЦИМА'!$G$16:$G$1823,"Свега за пројекат 1501-П2:",'ПО КОРИСНИЦИМА'!$L$16:$L$1823)</f>
        <v>25000000</v>
      </c>
      <c r="H106" s="249">
        <f>SUMIF('ПО КОРИСНИЦИМА'!$G$16:$G$1823,"Свега за пројекат 1501-П2:",'ПО КОРИСНИЦИМА'!$M$16:$M$1823)</f>
        <v>0</v>
      </c>
      <c r="I106" s="287"/>
      <c r="J106" s="246">
        <f>D106+G106</f>
        <v>25000000</v>
      </c>
      <c r="K106" s="246">
        <f>E106+H106</f>
        <v>0</v>
      </c>
      <c r="L106" s="279">
        <f>K106/J106</f>
        <v>0</v>
      </c>
    </row>
    <row r="107" spans="1:12" hidden="1" x14ac:dyDescent="0.2">
      <c r="A107" s="177"/>
      <c r="B107" s="177" t="s">
        <v>4295</v>
      </c>
      <c r="C107" s="262" t="str">
        <f>IFERROR(VLOOKUP(B107,'ПО КОРИСНИЦИМА'!$C$16:$S$1823,5,FALSE),"")</f>
        <v/>
      </c>
      <c r="D107" s="248">
        <f>SUMIF('ПО КОРИСНИЦИМА'!$G$16:$G$1823,"Свега за пројекат 1501-П3:",'ПО КОРИСНИЦИМА'!$H$16:$H$1823)</f>
        <v>0</v>
      </c>
      <c r="E107" s="248"/>
      <c r="F107" s="280"/>
      <c r="G107" s="249">
        <f>SUMIF('ПО КОРИСНИЦИМА'!$G$16:$G$1823,"Свега за пројекат 1501-П3:",'ПО КОРИСНИЦИМА'!$L$16:$L$1823)</f>
        <v>0</v>
      </c>
      <c r="H107" s="249"/>
      <c r="I107" s="287"/>
      <c r="J107" s="246">
        <f t="shared" si="5"/>
        <v>0</v>
      </c>
      <c r="K107" s="246"/>
      <c r="L107" s="279"/>
    </row>
    <row r="108" spans="1:12" hidden="1" x14ac:dyDescent="0.2">
      <c r="A108" s="177"/>
      <c r="B108" s="177" t="s">
        <v>4296</v>
      </c>
      <c r="C108" s="265"/>
      <c r="D108" s="248">
        <f>SUMIF('ПО КОРИСНИЦИМА'!$G$16:$G$1823,"Свега за пројекат 1501-П4:",'ПО КОРИСНИЦИМА'!$H$16:$H$1823)</f>
        <v>0</v>
      </c>
      <c r="E108" s="248"/>
      <c r="F108" s="280"/>
      <c r="G108" s="249">
        <f>SUMIF('ПО КОРИСНИЦИМА'!$G$16:$G$1823,"Свега за пројекат 1501-П4:",'ПО КОРИСНИЦИМА'!$L$16:$L$1823)</f>
        <v>0</v>
      </c>
      <c r="H108" s="249"/>
      <c r="I108" s="287"/>
      <c r="J108" s="246">
        <f t="shared" si="5"/>
        <v>0</v>
      </c>
      <c r="K108" s="246"/>
      <c r="L108" s="279"/>
    </row>
    <row r="109" spans="1:12" hidden="1" x14ac:dyDescent="0.2">
      <c r="A109" s="177"/>
      <c r="B109" s="177" t="s">
        <v>4297</v>
      </c>
      <c r="C109" s="265"/>
      <c r="D109" s="248">
        <f>SUMIF('ПО КОРИСНИЦИМА'!$G$16:$G$1823,"Свега за пројекат 1501-П5:",'ПО КОРИСНИЦИМА'!$H$16:$H$1823)</f>
        <v>0</v>
      </c>
      <c r="E109" s="248"/>
      <c r="F109" s="280"/>
      <c r="G109" s="249">
        <f>SUMIF('ПО КОРИСНИЦИМА'!$G$16:$G$1823,"Свега за пројекат 1501-П5:",'ПО КОРИСНИЦИМА'!$L$16:$L$1823)</f>
        <v>0</v>
      </c>
      <c r="H109" s="249"/>
      <c r="I109" s="287"/>
      <c r="J109" s="246">
        <f t="shared" si="5"/>
        <v>0</v>
      </c>
      <c r="K109" s="246"/>
      <c r="L109" s="279"/>
    </row>
    <row r="110" spans="1:12" hidden="1" x14ac:dyDescent="0.2">
      <c r="A110" s="177"/>
      <c r="B110" s="177" t="s">
        <v>4298</v>
      </c>
      <c r="C110" s="265"/>
      <c r="D110" s="248">
        <f>SUMIF('ПО КОРИСНИЦИМА'!$G$16:$G$1823,"Свега за пројекат 1501-П6:",'ПО КОРИСНИЦИМА'!$H$16:$H$1823)</f>
        <v>0</v>
      </c>
      <c r="E110" s="248"/>
      <c r="F110" s="280"/>
      <c r="G110" s="249">
        <f>SUMIF('ПО КОРИСНИЦИМА'!$G$16:$G$1823,"Свега за пројекат 1501-П6:",'ПО КОРИСНИЦИМА'!$L$16:$L$1823)</f>
        <v>0</v>
      </c>
      <c r="H110" s="249"/>
      <c r="I110" s="287"/>
      <c r="J110" s="246">
        <f t="shared" si="5"/>
        <v>0</v>
      </c>
      <c r="K110" s="246"/>
      <c r="L110" s="279"/>
    </row>
    <row r="111" spans="1:12" hidden="1" x14ac:dyDescent="0.2">
      <c r="A111" s="177"/>
      <c r="B111" s="177" t="s">
        <v>4299</v>
      </c>
      <c r="C111" s="265"/>
      <c r="D111" s="248">
        <f>SUMIF('ПО КОРИСНИЦИМА'!$G$16:$G$1823,"Свега за пројекат 1501-П7:",'ПО КОРИСНИЦИМА'!$H$16:$H$1823)</f>
        <v>0</v>
      </c>
      <c r="E111" s="248"/>
      <c r="F111" s="280"/>
      <c r="G111" s="249">
        <f>SUMIF('ПО КОРИСНИЦИМА'!$G$16:$G$1823,"Свега за пројекат 1501-П7:",'ПО КОРИСНИЦИМА'!$L$16:$L$1823)</f>
        <v>0</v>
      </c>
      <c r="H111" s="249"/>
      <c r="I111" s="287"/>
      <c r="J111" s="246">
        <f t="shared" si="5"/>
        <v>0</v>
      </c>
      <c r="K111" s="246"/>
      <c r="L111" s="279"/>
    </row>
    <row r="112" spans="1:12" hidden="1" x14ac:dyDescent="0.2">
      <c r="A112" s="177"/>
      <c r="B112" s="177" t="s">
        <v>4300</v>
      </c>
      <c r="C112" s="265"/>
      <c r="D112" s="248">
        <f>SUMIF('ПО КОРИСНИЦИМА'!$G$16:$G$1823,"Свега за пројекат 1501-П8:",'ПО КОРИСНИЦИМА'!$H$16:$H$1823)</f>
        <v>0</v>
      </c>
      <c r="E112" s="248"/>
      <c r="F112" s="280"/>
      <c r="G112" s="249">
        <f>SUMIF('ПО КОРИСНИЦИМА'!$G$16:$G$1823,"Свега за пројекат 1501-П8:",'ПО КОРИСНИЦИМА'!$L$16:$L$1823)</f>
        <v>0</v>
      </c>
      <c r="H112" s="249"/>
      <c r="I112" s="287"/>
      <c r="J112" s="246">
        <f t="shared" si="5"/>
        <v>0</v>
      </c>
      <c r="K112" s="246"/>
      <c r="L112" s="279"/>
    </row>
    <row r="113" spans="1:12" hidden="1" x14ac:dyDescent="0.2">
      <c r="A113" s="177"/>
      <c r="B113" s="177" t="s">
        <v>4301</v>
      </c>
      <c r="C113" s="265"/>
      <c r="D113" s="248">
        <f>SUMIF('ПО КОРИСНИЦИМА'!$G$16:$G$1823,"Свега за пројекат 1501-П9:",'ПО КОРИСНИЦИМА'!$H$16:$H$1823)</f>
        <v>0</v>
      </c>
      <c r="E113" s="248"/>
      <c r="F113" s="280"/>
      <c r="G113" s="249">
        <f>SUMIF('ПО КОРИСНИЦИМА'!$G$16:$G$1823,"Свега за пројекат 1501-П9:",'ПО КОРИСНИЦИМА'!$L$16:$L$1823)</f>
        <v>0</v>
      </c>
      <c r="H113" s="249"/>
      <c r="I113" s="287"/>
      <c r="J113" s="246">
        <f t="shared" si="5"/>
        <v>0</v>
      </c>
      <c r="K113" s="246"/>
      <c r="L113" s="279"/>
    </row>
    <row r="114" spans="1:12" hidden="1" x14ac:dyDescent="0.2">
      <c r="A114" s="177"/>
      <c r="B114" s="177" t="s">
        <v>4302</v>
      </c>
      <c r="C114" s="265"/>
      <c r="D114" s="248">
        <f>SUMIF('ПО КОРИСНИЦИМА'!$G$16:$G$1823,"Свега за пројекат 1501-П10:",'ПО КОРИСНИЦИМА'!$H$16:$H$1823)</f>
        <v>0</v>
      </c>
      <c r="E114" s="248"/>
      <c r="F114" s="280"/>
      <c r="G114" s="249">
        <f>SUMIF('ПО КОРИСНИЦИМА'!$G$16:$G$1823,"Свега за пројекат 1501-П10:",'ПО КОРИСНИЦИМА'!$L$16:$L$1823)</f>
        <v>0</v>
      </c>
      <c r="H114" s="249"/>
      <c r="I114" s="287"/>
      <c r="J114" s="246">
        <f t="shared" si="5"/>
        <v>0</v>
      </c>
      <c r="K114" s="246"/>
      <c r="L114" s="279"/>
    </row>
    <row r="115" spans="1:12" hidden="1" x14ac:dyDescent="0.2">
      <c r="A115" s="177"/>
      <c r="B115" s="177" t="s">
        <v>4303</v>
      </c>
      <c r="C115" s="265"/>
      <c r="D115" s="248">
        <f>SUMIF('ПО КОРИСНИЦИМА'!$G$16:$G$1823,"Свега за пројекат 1501-П11:",'ПО КОРИСНИЦИМА'!$H$16:$H$1823)</f>
        <v>0</v>
      </c>
      <c r="E115" s="248"/>
      <c r="F115" s="280"/>
      <c r="G115" s="249">
        <f>SUMIF('ПО КОРИСНИЦИМА'!$G$16:$G$1823,"Свега за пројекат 1501-П11:",'ПО КОРИСНИЦИМА'!$L$16:$L$1823)</f>
        <v>0</v>
      </c>
      <c r="H115" s="249"/>
      <c r="I115" s="287"/>
      <c r="J115" s="246">
        <f t="shared" si="5"/>
        <v>0</v>
      </c>
      <c r="K115" s="246"/>
      <c r="L115" s="279"/>
    </row>
    <row r="116" spans="1:12" hidden="1" x14ac:dyDescent="0.2">
      <c r="A116" s="177"/>
      <c r="B116" s="177" t="s">
        <v>4304</v>
      </c>
      <c r="C116" s="265"/>
      <c r="D116" s="248">
        <f>SUMIF('ПО КОРИСНИЦИМА'!$G$16:$G$1823,"Свега за пројекат 1501-П12:",'ПО КОРИСНИЦИМА'!$H$16:$H$1823)</f>
        <v>0</v>
      </c>
      <c r="E116" s="248"/>
      <c r="F116" s="280"/>
      <c r="G116" s="249">
        <f>SUMIF('ПО КОРИСНИЦИМА'!$G$16:$G$1823,"Свега за пројекат 1501-П12:",'ПО КОРИСНИЦИМА'!$L$16:$L$1823)</f>
        <v>0</v>
      </c>
      <c r="H116" s="249"/>
      <c r="I116" s="287"/>
      <c r="J116" s="246">
        <f t="shared" si="5"/>
        <v>0</v>
      </c>
      <c r="K116" s="246"/>
      <c r="L116" s="279"/>
    </row>
    <row r="117" spans="1:12" hidden="1" x14ac:dyDescent="0.2">
      <c r="A117" s="177"/>
      <c r="B117" s="177" t="s">
        <v>4305</v>
      </c>
      <c r="C117" s="265"/>
      <c r="D117" s="248">
        <f>SUMIF('ПО КОРИСНИЦИМА'!$G$16:$G$1823,"Свега за пројекат 1501-П13:",'ПО КОРИСНИЦИМА'!$H$16:$H$1823)</f>
        <v>0</v>
      </c>
      <c r="E117" s="248"/>
      <c r="F117" s="280"/>
      <c r="G117" s="249">
        <f>SUMIF('ПО КОРИСНИЦИМА'!$G$16:$G$1823,"Свега за пројекат 1501-П13:",'ПО КОРИСНИЦИМА'!$L$16:$L$1823)</f>
        <v>0</v>
      </c>
      <c r="H117" s="249"/>
      <c r="I117" s="287"/>
      <c r="J117" s="246">
        <f t="shared" si="5"/>
        <v>0</v>
      </c>
      <c r="K117" s="246"/>
      <c r="L117" s="279"/>
    </row>
    <row r="118" spans="1:12" hidden="1" x14ac:dyDescent="0.2">
      <c r="A118" s="177"/>
      <c r="B118" s="177" t="s">
        <v>4306</v>
      </c>
      <c r="C118" s="265"/>
      <c r="D118" s="248">
        <f>SUMIF('ПО КОРИСНИЦИМА'!$G$16:$G$1823,"Свега за пројекат 1501-П14:",'ПО КОРИСНИЦИМА'!$H$16:$H$1823)</f>
        <v>0</v>
      </c>
      <c r="E118" s="248"/>
      <c r="F118" s="280"/>
      <c r="G118" s="249">
        <f>SUMIF('ПО КОРИСНИЦИМА'!$G$16:$G$1823,"Свега за пројекат 1501-П14:",'ПО КОРИСНИЦИМА'!$L$16:$L$1823)</f>
        <v>0</v>
      </c>
      <c r="H118" s="249"/>
      <c r="I118" s="287"/>
      <c r="J118" s="246">
        <f t="shared" si="5"/>
        <v>0</v>
      </c>
      <c r="K118" s="246"/>
      <c r="L118" s="279"/>
    </row>
    <row r="119" spans="1:12" hidden="1" x14ac:dyDescent="0.2">
      <c r="A119" s="177"/>
      <c r="B119" s="177" t="s">
        <v>4307</v>
      </c>
      <c r="C119" s="265"/>
      <c r="D119" s="248">
        <f>SUMIF('ПО КОРИСНИЦИМА'!$G$16:$G$1823,"Свега за пројекат 1501-П15:",'ПО КОРИСНИЦИМА'!$H$16:$H$1823)</f>
        <v>0</v>
      </c>
      <c r="E119" s="248"/>
      <c r="F119" s="280"/>
      <c r="G119" s="249">
        <f>SUMIF('ПО КОРИСНИЦИМА'!$G$16:$G$1823,"Свега за пројекат 1501-П15:",'ПО КОРИСНИЦИМА'!$L$16:$L$1823)</f>
        <v>0</v>
      </c>
      <c r="H119" s="249"/>
      <c r="I119" s="287"/>
      <c r="J119" s="246">
        <f t="shared" si="5"/>
        <v>0</v>
      </c>
      <c r="K119" s="246"/>
      <c r="L119" s="279"/>
    </row>
    <row r="120" spans="1:12" hidden="1" x14ac:dyDescent="0.2">
      <c r="A120" s="177"/>
      <c r="B120" s="177" t="s">
        <v>4308</v>
      </c>
      <c r="C120" s="265"/>
      <c r="D120" s="248">
        <f>SUMIF('ПО КОРИСНИЦИМА'!$G$16:$G$1823,"Свега за пројекат 1501-П16:",'ПО КОРИСНИЦИМА'!$H$16:$H$1823)</f>
        <v>0</v>
      </c>
      <c r="E120" s="248"/>
      <c r="F120" s="280"/>
      <c r="G120" s="249">
        <f>SUMIF('ПО КОРИСНИЦИМА'!$G$16:$G$1823,"Свега за пројекат 1501-П16:",'ПО КОРИСНИЦИМА'!$L$16:$L$1823)</f>
        <v>0</v>
      </c>
      <c r="H120" s="249"/>
      <c r="I120" s="287"/>
      <c r="J120" s="246">
        <f t="shared" si="5"/>
        <v>0</v>
      </c>
      <c r="K120" s="246"/>
      <c r="L120" s="279"/>
    </row>
    <row r="121" spans="1:12" hidden="1" x14ac:dyDescent="0.2">
      <c r="A121" s="177"/>
      <c r="B121" s="177" t="s">
        <v>4309</v>
      </c>
      <c r="C121" s="265"/>
      <c r="D121" s="248">
        <f>SUMIF('ПО КОРИСНИЦИМА'!$G$16:$G$1823,"Свега за пројекат 1501-П17:",'ПО КОРИСНИЦИМА'!$H$16:$H$1823)</f>
        <v>0</v>
      </c>
      <c r="E121" s="248"/>
      <c r="F121" s="280"/>
      <c r="G121" s="249">
        <f>SUMIF('ПО КОРИСНИЦИМА'!$G$16:$G$1823,"Свега за пројекат 1501-П17:",'ПО КОРИСНИЦИМА'!$L$16:$L$1823)</f>
        <v>0</v>
      </c>
      <c r="H121" s="249"/>
      <c r="I121" s="287"/>
      <c r="J121" s="246">
        <f t="shared" si="5"/>
        <v>0</v>
      </c>
      <c r="K121" s="246"/>
      <c r="L121" s="279"/>
    </row>
    <row r="122" spans="1:12" hidden="1" x14ac:dyDescent="0.2">
      <c r="A122" s="177"/>
      <c r="B122" s="177" t="s">
        <v>4310</v>
      </c>
      <c r="C122" s="265"/>
      <c r="D122" s="248">
        <f>SUMIF('ПО КОРИСНИЦИМА'!$G$16:$G$1823,"Свега за пројекат 1501-П18:",'ПО КОРИСНИЦИМА'!$H$16:$H$1823)</f>
        <v>0</v>
      </c>
      <c r="E122" s="248"/>
      <c r="F122" s="280"/>
      <c r="G122" s="249">
        <f>SUMIF('ПО КОРИСНИЦИМА'!$G$16:$G$1823,"Свега за пројекат 1501-П18:",'ПО КОРИСНИЦИМА'!$L$16:$L$1823)</f>
        <v>0</v>
      </c>
      <c r="H122" s="249"/>
      <c r="I122" s="287"/>
      <c r="J122" s="246">
        <f t="shared" si="5"/>
        <v>0</v>
      </c>
      <c r="K122" s="246"/>
      <c r="L122" s="279"/>
    </row>
    <row r="123" spans="1:12" hidden="1" x14ac:dyDescent="0.2">
      <c r="A123" s="177"/>
      <c r="B123" s="177" t="s">
        <v>4311</v>
      </c>
      <c r="C123" s="265"/>
      <c r="D123" s="248">
        <f>SUMIF('ПО КОРИСНИЦИМА'!$G$16:$G$1823,"Свега за пројекат 1501-П19:",'ПО КОРИСНИЦИМА'!$H$16:$H$1823)</f>
        <v>0</v>
      </c>
      <c r="E123" s="248"/>
      <c r="F123" s="280"/>
      <c r="G123" s="249">
        <f>SUMIF('ПО КОРИСНИЦИМА'!$G$16:$G$1823,"Свега за пројекат 1501-П19:",'ПО КОРИСНИЦИМА'!$L$16:$L$1823)</f>
        <v>0</v>
      </c>
      <c r="H123" s="249"/>
      <c r="I123" s="287"/>
      <c r="J123" s="246">
        <f t="shared" si="5"/>
        <v>0</v>
      </c>
      <c r="K123" s="246"/>
      <c r="L123" s="279"/>
    </row>
    <row r="124" spans="1:12" hidden="1" x14ac:dyDescent="0.2">
      <c r="A124" s="177"/>
      <c r="B124" s="177" t="s">
        <v>4312</v>
      </c>
      <c r="C124" s="265"/>
      <c r="D124" s="248">
        <f>SUMIF('ПО КОРИСНИЦИМА'!$G$16:$G$1823,"Свега за пројекат 1501-П20:",'ПО КОРИСНИЦИМА'!$H$16:$H$1823)</f>
        <v>0</v>
      </c>
      <c r="E124" s="248"/>
      <c r="F124" s="280"/>
      <c r="G124" s="249">
        <f>SUMIF('ПО КОРИСНИЦИМА'!$G$16:$G$1823,"Свега за пројекат 1501-П20:",'ПО КОРИСНИЦИМА'!$L$16:$L$1823)</f>
        <v>0</v>
      </c>
      <c r="H124" s="249"/>
      <c r="I124" s="287"/>
      <c r="J124" s="246">
        <f t="shared" ref="J124:J155" si="8">D124+G124</f>
        <v>0</v>
      </c>
      <c r="K124" s="246"/>
      <c r="L124" s="279"/>
    </row>
    <row r="125" spans="1:12" hidden="1" x14ac:dyDescent="0.2">
      <c r="A125" s="177"/>
      <c r="B125" s="177" t="s">
        <v>4313</v>
      </c>
      <c r="C125" s="265"/>
      <c r="D125" s="248">
        <f>SUMIF('ПО КОРИСНИЦИМА'!$G$16:$G$1823,"Свега за пројекат 1501-П21:",'ПО КОРИСНИЦИМА'!$H$16:$H$1823)</f>
        <v>0</v>
      </c>
      <c r="E125" s="248"/>
      <c r="F125" s="280"/>
      <c r="G125" s="249">
        <f>SUMIF('ПО КОРИСНИЦИМА'!$G$16:$G$1823,"Свега за пројекат 1501-П21:",'ПО КОРИСНИЦИМА'!$L$16:$L$1823)</f>
        <v>0</v>
      </c>
      <c r="H125" s="249"/>
      <c r="I125" s="287"/>
      <c r="J125" s="246">
        <f t="shared" si="8"/>
        <v>0</v>
      </c>
      <c r="K125" s="246"/>
      <c r="L125" s="279"/>
    </row>
    <row r="126" spans="1:12" hidden="1" x14ac:dyDescent="0.2">
      <c r="A126" s="177"/>
      <c r="B126" s="177" t="s">
        <v>4314</v>
      </c>
      <c r="C126" s="265"/>
      <c r="D126" s="248">
        <f>SUMIF('ПО КОРИСНИЦИМА'!$G$16:$G$1823,"Свега за пројекат 1501-П22:",'ПО КОРИСНИЦИМА'!$H$16:$H$1823)</f>
        <v>0</v>
      </c>
      <c r="E126" s="248"/>
      <c r="F126" s="280"/>
      <c r="G126" s="249">
        <f>SUMIF('ПО КОРИСНИЦИМА'!$G$16:$G$1823,"Свега за пројекат 1501-П22:",'ПО КОРИСНИЦИМА'!$L$16:$L$1823)</f>
        <v>0</v>
      </c>
      <c r="H126" s="249"/>
      <c r="I126" s="287"/>
      <c r="J126" s="246">
        <f t="shared" si="8"/>
        <v>0</v>
      </c>
      <c r="K126" s="246"/>
      <c r="L126" s="279"/>
    </row>
    <row r="127" spans="1:12" hidden="1" x14ac:dyDescent="0.2">
      <c r="A127" s="177"/>
      <c r="B127" s="177" t="s">
        <v>4315</v>
      </c>
      <c r="C127" s="265"/>
      <c r="D127" s="248">
        <f>SUMIF('ПО КОРИСНИЦИМА'!$G$16:$G$1823,"Свега за пројекат 1501-П23:",'ПО КОРИСНИЦИМА'!$H$16:$H$1823)</f>
        <v>0</v>
      </c>
      <c r="E127" s="248"/>
      <c r="F127" s="280"/>
      <c r="G127" s="249">
        <f>SUMIF('ПО КОРИСНИЦИМА'!$G$16:$G$1823,"Свега за пројекат 1501-П23:",'ПО КОРИСНИЦИМА'!$L$16:$L$1823)</f>
        <v>0</v>
      </c>
      <c r="H127" s="249"/>
      <c r="I127" s="287"/>
      <c r="J127" s="246">
        <f t="shared" si="8"/>
        <v>0</v>
      </c>
      <c r="K127" s="246"/>
      <c r="L127" s="279"/>
    </row>
    <row r="128" spans="1:12" hidden="1" x14ac:dyDescent="0.2">
      <c r="A128" s="179"/>
      <c r="B128" s="177" t="s">
        <v>4316</v>
      </c>
      <c r="C128" s="266"/>
      <c r="D128" s="248">
        <f>SUMIF('ПО КОРИСНИЦИМА'!$G$16:$G$1823,"Свега за пројекат 1501-П24:",'ПО КОРИСНИЦИМА'!$H$16:$H$1823)</f>
        <v>0</v>
      </c>
      <c r="E128" s="248"/>
      <c r="F128" s="280"/>
      <c r="G128" s="249">
        <f>SUMIF('ПО КОРИСНИЦИМА'!$G$16:$G$1823,"Свега за пројекат 1501-П24:",'ПО КОРИСНИЦИМА'!$L$16:$L$1823)</f>
        <v>0</v>
      </c>
      <c r="H128" s="249"/>
      <c r="I128" s="287"/>
      <c r="J128" s="246">
        <f t="shared" si="8"/>
        <v>0</v>
      </c>
      <c r="K128" s="272"/>
      <c r="L128" s="294"/>
    </row>
    <row r="129" spans="1:12" s="180" customFormat="1" x14ac:dyDescent="0.2">
      <c r="A129" s="173" t="s">
        <v>3570</v>
      </c>
      <c r="B129" s="174"/>
      <c r="C129" s="260" t="s">
        <v>3670</v>
      </c>
      <c r="D129" s="242">
        <f>SUM(D130:D155)</f>
        <v>10506166</v>
      </c>
      <c r="E129" s="242">
        <f>SUM(E130:E131)</f>
        <v>1605617.67</v>
      </c>
      <c r="F129" s="282">
        <f>E129/D129</f>
        <v>0.15282622319121933</v>
      </c>
      <c r="G129" s="243">
        <f>SUM(G130:G155)</f>
        <v>0</v>
      </c>
      <c r="H129" s="243">
        <v>0</v>
      </c>
      <c r="I129" s="289"/>
      <c r="J129" s="242">
        <f t="shared" si="8"/>
        <v>10506166</v>
      </c>
      <c r="K129" s="242">
        <f>E129+H129</f>
        <v>1605617.67</v>
      </c>
      <c r="L129" s="282">
        <f>K129/J129</f>
        <v>0.15282622319121933</v>
      </c>
    </row>
    <row r="130" spans="1:12" x14ac:dyDescent="0.2">
      <c r="A130" s="175"/>
      <c r="B130" s="181" t="s">
        <v>4066</v>
      </c>
      <c r="C130" s="267" t="s">
        <v>4052</v>
      </c>
      <c r="D130" s="244">
        <f>SUMIF('ПО КОРИСНИЦИМА'!$G$16:$G$1823,"Свега за програмску активност 1502-0001:",'ПО КОРИСНИЦИМА'!$H$16:$H$1823)</f>
        <v>10506166</v>
      </c>
      <c r="E130" s="244">
        <f>SUMIF('ПО КОРИСНИЦИМА'!$G$16:$G$1823,"Свега за програмску активност 1502-0001:",'ПО КОРИСНИЦИМА'!$I$16:$I$1823)</f>
        <v>1605617.67</v>
      </c>
      <c r="F130" s="278">
        <f>E130/D130</f>
        <v>0.15282622319121933</v>
      </c>
      <c r="G130" s="245">
        <f>SUMIF('ПО КОРИСНИЦИМА'!$G$16:$G$1823,"Свега за програмску активност 1502-0001:",'ПО КОРИСНИЦИМА'!$L$16:$L$1823)</f>
        <v>0</v>
      </c>
      <c r="H130" s="245">
        <v>0</v>
      </c>
      <c r="I130" s="285"/>
      <c r="J130" s="244">
        <f t="shared" si="8"/>
        <v>10506166</v>
      </c>
      <c r="K130" s="244">
        <f>E130+H130</f>
        <v>1605617.67</v>
      </c>
      <c r="L130" s="278">
        <f>K130/J130</f>
        <v>0.15282622319121933</v>
      </c>
    </row>
    <row r="131" spans="1:12" x14ac:dyDescent="0.2">
      <c r="A131" s="177"/>
      <c r="B131" s="182" t="s">
        <v>4176</v>
      </c>
      <c r="C131" s="268" t="s">
        <v>4053</v>
      </c>
      <c r="D131" s="246">
        <f>SUMIF('ПО КОРИСНИЦИМА'!$G$16:$G$1823,"Свега за програмску активност 1502-0002:",'ПО КОРИСНИЦИМА'!$H$16:$H$1823)</f>
        <v>0</v>
      </c>
      <c r="E131" s="246">
        <v>0</v>
      </c>
      <c r="F131" s="279"/>
      <c r="G131" s="247">
        <f>SUMIF('ПО КОРИСНИЦИМА'!$G$16:$G$1823,"Свега за програмску активност 1502-0002:",'ПО КОРИСНИЦИМА'!$L$16:$L$1823)</f>
        <v>0</v>
      </c>
      <c r="H131" s="247">
        <v>0</v>
      </c>
      <c r="I131" s="286"/>
      <c r="J131" s="246">
        <f t="shared" si="8"/>
        <v>0</v>
      </c>
      <c r="K131" s="246">
        <v>0</v>
      </c>
      <c r="L131" s="279"/>
    </row>
    <row r="132" spans="1:12" hidden="1" x14ac:dyDescent="0.2">
      <c r="A132" s="182"/>
      <c r="B132" s="177" t="s">
        <v>4317</v>
      </c>
      <c r="C132" s="262" t="str">
        <f>IFERROR(VLOOKUP(B132,'ПО КОРИСНИЦИМА'!$C$16:$S$1823,5,FALSE),"")</f>
        <v/>
      </c>
      <c r="D132" s="248">
        <f>SUMIF('ПО КОРИСНИЦИМА'!$G$16:$G$1823,"Свега за пројекат 1502-П1:",'ПО КОРИСНИЦИМА'!$H$16:$H$1823)</f>
        <v>0</v>
      </c>
      <c r="E132" s="248"/>
      <c r="F132" s="280"/>
      <c r="G132" s="249">
        <f>SUMIF('ПО КОРИСНИЦИМА'!$G$16:$G$1823,"Свега за пројекат 1502-П1:",'ПО КОРИСНИЦИМА'!$L$16:$L$1823)</f>
        <v>0</v>
      </c>
      <c r="H132" s="249"/>
      <c r="I132" s="287"/>
      <c r="J132" s="246">
        <f t="shared" si="8"/>
        <v>0</v>
      </c>
      <c r="K132" s="246"/>
      <c r="L132" s="279"/>
    </row>
    <row r="133" spans="1:12" hidden="1" x14ac:dyDescent="0.2">
      <c r="A133" s="182"/>
      <c r="B133" s="177" t="s">
        <v>4318</v>
      </c>
      <c r="C133" s="262" t="str">
        <f>IFERROR(VLOOKUP(B133,'ПО КОРИСНИЦИМА'!$C$16:$S$1823,5,FALSE),"")</f>
        <v/>
      </c>
      <c r="D133" s="248">
        <f>SUMIF('ПО КОРИСНИЦИМА'!$G$16:$G$1823,"Свега за пројекат 1502-П2:",'ПО КОРИСНИЦИМА'!$H$16:$H$1823)</f>
        <v>0</v>
      </c>
      <c r="E133" s="248"/>
      <c r="F133" s="280"/>
      <c r="G133" s="249">
        <f>SUMIF('ПО КОРИСНИЦИМА'!$G$16:$G$1823,"Свега за пројекат 1502-П2:",'ПО КОРИСНИЦИМА'!$L$16:$L$1823)</f>
        <v>0</v>
      </c>
      <c r="H133" s="249"/>
      <c r="I133" s="287"/>
      <c r="J133" s="246">
        <f t="shared" si="8"/>
        <v>0</v>
      </c>
      <c r="K133" s="246"/>
      <c r="L133" s="279"/>
    </row>
    <row r="134" spans="1:12" hidden="1" x14ac:dyDescent="0.2">
      <c r="A134" s="182"/>
      <c r="B134" s="177" t="s">
        <v>4319</v>
      </c>
      <c r="C134" s="262" t="str">
        <f>IFERROR(VLOOKUP(B134,'ПО КОРИСНИЦИМА'!$C$16:$S$1823,5,FALSE),"")</f>
        <v/>
      </c>
      <c r="D134" s="248">
        <f>SUMIF('ПО КОРИСНИЦИМА'!$G$16:$G$1823,"Свега за пројекат 1502-П3:",'ПО КОРИСНИЦИМА'!$H$16:$H$1823)</f>
        <v>0</v>
      </c>
      <c r="E134" s="248"/>
      <c r="F134" s="280"/>
      <c r="G134" s="249">
        <f>SUMIF('ПО КОРИСНИЦИМА'!$G$16:$G$1823,"Свега за пројекат 1502-П3:",'ПО КОРИСНИЦИМА'!$L$16:$L$1823)</f>
        <v>0</v>
      </c>
      <c r="H134" s="249"/>
      <c r="I134" s="287"/>
      <c r="J134" s="246">
        <f t="shared" si="8"/>
        <v>0</v>
      </c>
      <c r="K134" s="246"/>
      <c r="L134" s="279"/>
    </row>
    <row r="135" spans="1:12" hidden="1" x14ac:dyDescent="0.2">
      <c r="A135" s="182"/>
      <c r="B135" s="177" t="s">
        <v>4320</v>
      </c>
      <c r="C135" s="262" t="str">
        <f>IFERROR(VLOOKUP(B135,'ПО КОРИСНИЦИМА'!$C$16:$S$1823,5,FALSE),"")</f>
        <v/>
      </c>
      <c r="D135" s="248">
        <f>SUMIF('ПО КОРИСНИЦИМА'!$G$16:$G$1823,"Свега за пројекат 1502-П4:",'ПО КОРИСНИЦИМА'!$H$16:$H$1823)</f>
        <v>0</v>
      </c>
      <c r="E135" s="248"/>
      <c r="F135" s="280"/>
      <c r="G135" s="249">
        <f>SUMIF('ПО КОРИСНИЦИМА'!$G$16:$G$1823,"Свега за пројекат 1502-П4:",'ПО КОРИСНИЦИМА'!$L$16:$L$1823)</f>
        <v>0</v>
      </c>
      <c r="H135" s="249"/>
      <c r="I135" s="287"/>
      <c r="J135" s="246">
        <f t="shared" si="8"/>
        <v>0</v>
      </c>
      <c r="K135" s="246"/>
      <c r="L135" s="279"/>
    </row>
    <row r="136" spans="1:12" hidden="1" x14ac:dyDescent="0.2">
      <c r="A136" s="182"/>
      <c r="B136" s="177" t="s">
        <v>4321</v>
      </c>
      <c r="C136" s="262" t="str">
        <f>IFERROR(VLOOKUP(B136,'ПО КОРИСНИЦИМА'!$C$16:$S$1823,5,FALSE),"")</f>
        <v/>
      </c>
      <c r="D136" s="248">
        <f>SUMIF('ПО КОРИСНИЦИМА'!$G$16:$G$1823,"Свега за пројекат 1502-П5:",'ПО КОРИСНИЦИМА'!$H$16:$H$1823)</f>
        <v>0</v>
      </c>
      <c r="E136" s="248"/>
      <c r="F136" s="280"/>
      <c r="G136" s="249">
        <f>SUMIF('ПО КОРИСНИЦИМА'!$G$16:$G$1823,"Свега за пројекат 1502-П5:",'ПО КОРИСНИЦИМА'!$L$16:$L$1823)</f>
        <v>0</v>
      </c>
      <c r="H136" s="249"/>
      <c r="I136" s="287"/>
      <c r="J136" s="246">
        <f t="shared" si="8"/>
        <v>0</v>
      </c>
      <c r="K136" s="246"/>
      <c r="L136" s="279"/>
    </row>
    <row r="137" spans="1:12" hidden="1" x14ac:dyDescent="0.2">
      <c r="A137" s="182"/>
      <c r="B137" s="177" t="s">
        <v>4322</v>
      </c>
      <c r="C137" s="262" t="str">
        <f>IFERROR(VLOOKUP(B137,'ПО КОРИСНИЦИМА'!$C$16:$S$1823,5,FALSE),"")</f>
        <v/>
      </c>
      <c r="D137" s="248">
        <f>SUMIF('ПО КОРИСНИЦИМА'!$G$16:$G$1823,"Свега за пројекат 1502-П6:",'ПО КОРИСНИЦИМА'!$H$16:$H$1823)</f>
        <v>0</v>
      </c>
      <c r="E137" s="248"/>
      <c r="F137" s="280"/>
      <c r="G137" s="249">
        <f>SUMIF('ПО КОРИСНИЦИМА'!$G$16:$G$1823,"Свега за пројекат 1502-П6:",'ПО КОРИСНИЦИМА'!$L$16:$L$1823)</f>
        <v>0</v>
      </c>
      <c r="H137" s="249"/>
      <c r="I137" s="287"/>
      <c r="J137" s="246">
        <f t="shared" si="8"/>
        <v>0</v>
      </c>
      <c r="K137" s="246"/>
      <c r="L137" s="279"/>
    </row>
    <row r="138" spans="1:12" hidden="1" x14ac:dyDescent="0.2">
      <c r="A138" s="182"/>
      <c r="B138" s="177" t="s">
        <v>4323</v>
      </c>
      <c r="C138" s="262" t="str">
        <f>IFERROR(VLOOKUP(B138,'ПО КОРИСНИЦИМА'!$C$16:$S$1823,5,FALSE),"")</f>
        <v/>
      </c>
      <c r="D138" s="248">
        <f>SUMIF('ПО КОРИСНИЦИМА'!$G$16:$G$1823,"Свега за пројекат 1502-П7:",'ПО КОРИСНИЦИМА'!$H$16:$H$1823)</f>
        <v>0</v>
      </c>
      <c r="E138" s="248"/>
      <c r="F138" s="280"/>
      <c r="G138" s="249">
        <f>SUMIF('ПО КОРИСНИЦИМА'!$G$16:$G$1823,"Свега за пројекат 1502-П7:",'ПО КОРИСНИЦИМА'!$L$16:$L$1823)</f>
        <v>0</v>
      </c>
      <c r="H138" s="249"/>
      <c r="I138" s="287"/>
      <c r="J138" s="246">
        <f t="shared" si="8"/>
        <v>0</v>
      </c>
      <c r="K138" s="246"/>
      <c r="L138" s="279"/>
    </row>
    <row r="139" spans="1:12" hidden="1" x14ac:dyDescent="0.2">
      <c r="A139" s="182"/>
      <c r="B139" s="177" t="s">
        <v>4324</v>
      </c>
      <c r="C139" s="262" t="str">
        <f>IFERROR(VLOOKUP(B139,'ПО КОРИСНИЦИМА'!$C$16:$S$1823,5,FALSE),"")</f>
        <v/>
      </c>
      <c r="D139" s="248">
        <f>SUMIF('ПО КОРИСНИЦИМА'!$G$16:$G$1823,"Свега за пројекат 1502-П8:",'ПО КОРИСНИЦИМА'!$H$16:$H$1823)</f>
        <v>0</v>
      </c>
      <c r="E139" s="248"/>
      <c r="F139" s="280"/>
      <c r="G139" s="249">
        <f>SUMIF('ПО КОРИСНИЦИМА'!$G$16:$G$1823,"Свега за пројекат 1502-П8:",'ПО КОРИСНИЦИМА'!$L$16:$L$1823)</f>
        <v>0</v>
      </c>
      <c r="H139" s="249"/>
      <c r="I139" s="287"/>
      <c r="J139" s="246">
        <f t="shared" si="8"/>
        <v>0</v>
      </c>
      <c r="K139" s="246"/>
      <c r="L139" s="279"/>
    </row>
    <row r="140" spans="1:12" hidden="1" x14ac:dyDescent="0.2">
      <c r="A140" s="182"/>
      <c r="B140" s="177" t="s">
        <v>4325</v>
      </c>
      <c r="C140" s="262" t="str">
        <f>IFERROR(VLOOKUP(B140,'ПО КОРИСНИЦИМА'!$C$16:$S$1823,5,FALSE),"")</f>
        <v/>
      </c>
      <c r="D140" s="248">
        <f>SUMIF('ПО КОРИСНИЦИМА'!$G$16:$G$1823,"Свега за пројекат 1502-П9:",'ПО КОРИСНИЦИМА'!$H$16:$H$1823)</f>
        <v>0</v>
      </c>
      <c r="E140" s="248"/>
      <c r="F140" s="280"/>
      <c r="G140" s="249">
        <f>SUMIF('ПО КОРИСНИЦИМА'!$G$16:$G$1823,"Свега за пројекат 1502-П9:",'ПО КОРИСНИЦИМА'!$L$16:$L$1823)</f>
        <v>0</v>
      </c>
      <c r="H140" s="249"/>
      <c r="I140" s="287"/>
      <c r="J140" s="246">
        <f t="shared" si="8"/>
        <v>0</v>
      </c>
      <c r="K140" s="246"/>
      <c r="L140" s="279"/>
    </row>
    <row r="141" spans="1:12" hidden="1" x14ac:dyDescent="0.2">
      <c r="A141" s="182"/>
      <c r="B141" s="177" t="s">
        <v>4326</v>
      </c>
      <c r="C141" s="262" t="str">
        <f>IFERROR(VLOOKUP(B141,'ПО КОРИСНИЦИМА'!$C$16:$S$1823,5,FALSE),"")</f>
        <v/>
      </c>
      <c r="D141" s="248">
        <f>SUMIF('ПО КОРИСНИЦИМА'!$G$16:$G$1823,"Свега за пројекат 1502-П10:",'ПО КОРИСНИЦИМА'!$H$16:$H$1823)</f>
        <v>0</v>
      </c>
      <c r="E141" s="248"/>
      <c r="F141" s="280"/>
      <c r="G141" s="249">
        <f>SUMIF('ПО КОРИСНИЦИМА'!$G$16:$G$1823,"Свега за пројекат 1502-П10:",'ПО КОРИСНИЦИМА'!$L$16:$L$1823)</f>
        <v>0</v>
      </c>
      <c r="H141" s="249"/>
      <c r="I141" s="287"/>
      <c r="J141" s="246">
        <f t="shared" si="8"/>
        <v>0</v>
      </c>
      <c r="K141" s="246"/>
      <c r="L141" s="279"/>
    </row>
    <row r="142" spans="1:12" hidden="1" x14ac:dyDescent="0.2">
      <c r="A142" s="182"/>
      <c r="B142" s="177" t="s">
        <v>4327</v>
      </c>
      <c r="C142" s="262" t="str">
        <f>IFERROR(VLOOKUP(B142,'ПО КОРИСНИЦИМА'!$C$16:$S$1823,5,FALSE),"")</f>
        <v/>
      </c>
      <c r="D142" s="248">
        <f>SUMIF('ПО КОРИСНИЦИМА'!$G$16:$G$1823,"Свега за пројекат 1502-П11:",'ПО КОРИСНИЦИМА'!$H$16:$H$1823)</f>
        <v>0</v>
      </c>
      <c r="E142" s="248"/>
      <c r="F142" s="280"/>
      <c r="G142" s="249">
        <f>SUMIF('ПО КОРИСНИЦИМА'!$G$16:$G$1823,"Свега за пројекат 1502-П11:",'ПО КОРИСНИЦИМА'!$L$16:$L$1823)</f>
        <v>0</v>
      </c>
      <c r="H142" s="249"/>
      <c r="I142" s="287"/>
      <c r="J142" s="246">
        <f t="shared" si="8"/>
        <v>0</v>
      </c>
      <c r="K142" s="246"/>
      <c r="L142" s="279"/>
    </row>
    <row r="143" spans="1:12" hidden="1" x14ac:dyDescent="0.2">
      <c r="A143" s="182"/>
      <c r="B143" s="177" t="s">
        <v>4328</v>
      </c>
      <c r="C143" s="262" t="str">
        <f>IFERROR(VLOOKUP(B143,'ПО КОРИСНИЦИМА'!$C$16:$S$1823,5,FALSE),"")</f>
        <v/>
      </c>
      <c r="D143" s="248">
        <f>SUMIF('ПО КОРИСНИЦИМА'!$G$16:$G$1823,"Свега за пројекат 1502-П12:",'ПО КОРИСНИЦИМА'!$H$16:$H$1823)</f>
        <v>0</v>
      </c>
      <c r="E143" s="248"/>
      <c r="F143" s="280"/>
      <c r="G143" s="249">
        <f>SUMIF('ПО КОРИСНИЦИМА'!$G$16:$G$1823,"Свега за пројекат 1502-П12:",'ПО КОРИСНИЦИМА'!$L$16:$L$1823)</f>
        <v>0</v>
      </c>
      <c r="H143" s="249"/>
      <c r="I143" s="287"/>
      <c r="J143" s="246">
        <f t="shared" si="8"/>
        <v>0</v>
      </c>
      <c r="K143" s="246"/>
      <c r="L143" s="279"/>
    </row>
    <row r="144" spans="1:12" hidden="1" x14ac:dyDescent="0.2">
      <c r="A144" s="182"/>
      <c r="B144" s="177" t="s">
        <v>4329</v>
      </c>
      <c r="C144" s="262" t="str">
        <f>IFERROR(VLOOKUP(B144,'ПО КОРИСНИЦИМА'!$C$16:$S$1823,5,FALSE),"")</f>
        <v/>
      </c>
      <c r="D144" s="248">
        <f>SUMIF('ПО КОРИСНИЦИМА'!$G$16:$G$1823,"Свега за пројекат 1502-П13:",'ПО КОРИСНИЦИМА'!$H$16:$H$1823)</f>
        <v>0</v>
      </c>
      <c r="E144" s="248"/>
      <c r="F144" s="280"/>
      <c r="G144" s="249">
        <f>SUMIF('ПО КОРИСНИЦИМА'!$G$16:$G$1823,"Свега за пројекат 1502-П13:",'ПО КОРИСНИЦИМА'!$L$16:$L$1823)</f>
        <v>0</v>
      </c>
      <c r="H144" s="249"/>
      <c r="I144" s="287"/>
      <c r="J144" s="246">
        <f t="shared" si="8"/>
        <v>0</v>
      </c>
      <c r="K144" s="246"/>
      <c r="L144" s="279"/>
    </row>
    <row r="145" spans="1:12" hidden="1" x14ac:dyDescent="0.2">
      <c r="A145" s="182"/>
      <c r="B145" s="177" t="s">
        <v>4330</v>
      </c>
      <c r="C145" s="262" t="str">
        <f>IFERROR(VLOOKUP(B145,'ПО КОРИСНИЦИМА'!$C$16:$S$1823,5,FALSE),"")</f>
        <v/>
      </c>
      <c r="D145" s="248">
        <f>SUMIF('ПО КОРИСНИЦИМА'!$G$16:$G$1823,"Свега за пројекат 1502-П14:",'ПО КОРИСНИЦИМА'!$H$16:$H$1823)</f>
        <v>0</v>
      </c>
      <c r="E145" s="248"/>
      <c r="F145" s="280"/>
      <c r="G145" s="249">
        <f>SUMIF('ПО КОРИСНИЦИМА'!$G$16:$G$1823,"Свега за пројекат 1502-П14:",'ПО КОРИСНИЦИМА'!$L$16:$L$1823)</f>
        <v>0</v>
      </c>
      <c r="H145" s="249"/>
      <c r="I145" s="287"/>
      <c r="J145" s="246">
        <f t="shared" si="8"/>
        <v>0</v>
      </c>
      <c r="K145" s="246"/>
      <c r="L145" s="279"/>
    </row>
    <row r="146" spans="1:12" hidden="1" x14ac:dyDescent="0.2">
      <c r="A146" s="182"/>
      <c r="B146" s="177" t="s">
        <v>4331</v>
      </c>
      <c r="C146" s="262" t="str">
        <f>IFERROR(VLOOKUP(B146,'ПО КОРИСНИЦИМА'!$C$16:$S$1823,5,FALSE),"")</f>
        <v/>
      </c>
      <c r="D146" s="248">
        <f>SUMIF('ПО КОРИСНИЦИМА'!$G$16:$G$1823,"Свега за пројекат 1502-П15:",'ПО КОРИСНИЦИМА'!$H$16:$H$1823)</f>
        <v>0</v>
      </c>
      <c r="E146" s="248"/>
      <c r="F146" s="280"/>
      <c r="G146" s="249">
        <f>SUMIF('ПО КОРИСНИЦИМА'!$G$16:$G$1823,"Свега за пројекат 1502-П15:",'ПО КОРИСНИЦИМА'!$L$16:$L$1823)</f>
        <v>0</v>
      </c>
      <c r="H146" s="249"/>
      <c r="I146" s="287"/>
      <c r="J146" s="246">
        <f t="shared" si="8"/>
        <v>0</v>
      </c>
      <c r="K146" s="246"/>
      <c r="L146" s="279"/>
    </row>
    <row r="147" spans="1:12" hidden="1" x14ac:dyDescent="0.2">
      <c r="A147" s="182"/>
      <c r="B147" s="177" t="s">
        <v>4332</v>
      </c>
      <c r="C147" s="262" t="str">
        <f>IFERROR(VLOOKUP(B147,'ПО КОРИСНИЦИМА'!$C$16:$S$1823,5,FALSE),"")</f>
        <v/>
      </c>
      <c r="D147" s="248">
        <f>SUMIF('ПО КОРИСНИЦИМА'!$G$16:$G$1823,"Свега за пројекат 1502-П16:",'ПО КОРИСНИЦИМА'!$H$16:$H$1823)</f>
        <v>0</v>
      </c>
      <c r="E147" s="248"/>
      <c r="F147" s="280"/>
      <c r="G147" s="249">
        <f>SUMIF('ПО КОРИСНИЦИМА'!$G$16:$G$1823,"Свега за пројекат 1502-П16:",'ПО КОРИСНИЦИМА'!$L$16:$L$1823)</f>
        <v>0</v>
      </c>
      <c r="H147" s="249"/>
      <c r="I147" s="287"/>
      <c r="J147" s="246">
        <f t="shared" si="8"/>
        <v>0</v>
      </c>
      <c r="K147" s="246"/>
      <c r="L147" s="279"/>
    </row>
    <row r="148" spans="1:12" hidden="1" x14ac:dyDescent="0.2">
      <c r="A148" s="182"/>
      <c r="B148" s="177" t="s">
        <v>4333</v>
      </c>
      <c r="C148" s="262" t="str">
        <f>IFERROR(VLOOKUP(B148,'ПО КОРИСНИЦИМА'!$C$16:$S$1823,5,FALSE),"")</f>
        <v/>
      </c>
      <c r="D148" s="248">
        <f>SUMIF('ПО КОРИСНИЦИМА'!$G$16:$G$1823,"Свега за пројекат 1502-П17:",'ПО КОРИСНИЦИМА'!$H$16:$H$1823)</f>
        <v>0</v>
      </c>
      <c r="E148" s="248"/>
      <c r="F148" s="280"/>
      <c r="G148" s="249">
        <f>SUMIF('ПО КОРИСНИЦИМА'!$G$16:$G$1823,"Свега за пројекат 1502-П17:",'ПО КОРИСНИЦИМА'!$L$16:$L$1823)</f>
        <v>0</v>
      </c>
      <c r="H148" s="249"/>
      <c r="I148" s="287"/>
      <c r="J148" s="246">
        <f t="shared" si="8"/>
        <v>0</v>
      </c>
      <c r="K148" s="246"/>
      <c r="L148" s="279"/>
    </row>
    <row r="149" spans="1:12" hidden="1" x14ac:dyDescent="0.2">
      <c r="A149" s="182"/>
      <c r="B149" s="177" t="s">
        <v>4334</v>
      </c>
      <c r="C149" s="262" t="str">
        <f>IFERROR(VLOOKUP(B149,'ПО КОРИСНИЦИМА'!$C$16:$S$1823,5,FALSE),"")</f>
        <v/>
      </c>
      <c r="D149" s="248">
        <f>SUMIF('ПО КОРИСНИЦИМА'!$G$16:$G$1823,"Свега за пројекат 1502-П18:",'ПО КОРИСНИЦИМА'!$H$16:$H$1823)</f>
        <v>0</v>
      </c>
      <c r="E149" s="248"/>
      <c r="F149" s="280"/>
      <c r="G149" s="249">
        <f>SUMIF('ПО КОРИСНИЦИМА'!$G$16:$G$1823,"Свега за пројекат 1502-П18:",'ПО КОРИСНИЦИМА'!$L$16:$L$1823)</f>
        <v>0</v>
      </c>
      <c r="H149" s="249"/>
      <c r="I149" s="287"/>
      <c r="J149" s="246">
        <f t="shared" si="8"/>
        <v>0</v>
      </c>
      <c r="K149" s="246"/>
      <c r="L149" s="279"/>
    </row>
    <row r="150" spans="1:12" hidden="1" x14ac:dyDescent="0.2">
      <c r="A150" s="182"/>
      <c r="B150" s="177" t="s">
        <v>4335</v>
      </c>
      <c r="C150" s="262" t="str">
        <f>IFERROR(VLOOKUP(B150,'ПО КОРИСНИЦИМА'!$C$16:$S$1823,5,FALSE),"")</f>
        <v/>
      </c>
      <c r="D150" s="248">
        <f>SUMIF('ПО КОРИСНИЦИМА'!$G$16:$G$1823,"Свега за пројекат 1502-П19:",'ПО КОРИСНИЦИМА'!$H$16:$H$1823)</f>
        <v>0</v>
      </c>
      <c r="E150" s="248"/>
      <c r="F150" s="280"/>
      <c r="G150" s="249">
        <f>SUMIF('ПО КОРИСНИЦИМА'!$G$16:$G$1823,"Свега за пројекат 1502-П19:",'ПО КОРИСНИЦИМА'!$L$16:$L$1823)</f>
        <v>0</v>
      </c>
      <c r="H150" s="249"/>
      <c r="I150" s="287"/>
      <c r="J150" s="246">
        <f t="shared" si="8"/>
        <v>0</v>
      </c>
      <c r="K150" s="246"/>
      <c r="L150" s="279"/>
    </row>
    <row r="151" spans="1:12" hidden="1" x14ac:dyDescent="0.2">
      <c r="A151" s="182"/>
      <c r="B151" s="177" t="s">
        <v>4336</v>
      </c>
      <c r="C151" s="262" t="str">
        <f>IFERROR(VLOOKUP(B151,'ПО КОРИСНИЦИМА'!$C$16:$S$1823,5,FALSE),"")</f>
        <v/>
      </c>
      <c r="D151" s="248">
        <f>SUMIF('ПО КОРИСНИЦИМА'!$G$16:$G$1823,"Свега за пројекат 1502-П20:",'ПО КОРИСНИЦИМА'!$H$16:$H$1823)</f>
        <v>0</v>
      </c>
      <c r="E151" s="248"/>
      <c r="F151" s="280"/>
      <c r="G151" s="249">
        <f>SUMIF('ПО КОРИСНИЦИМА'!$G$16:$G$1823,"Свега за пројекат 1502-П20:",'ПО КОРИСНИЦИМА'!$L$16:$L$1823)</f>
        <v>0</v>
      </c>
      <c r="H151" s="249"/>
      <c r="I151" s="287"/>
      <c r="J151" s="246">
        <f t="shared" si="8"/>
        <v>0</v>
      </c>
      <c r="K151" s="246"/>
      <c r="L151" s="279"/>
    </row>
    <row r="152" spans="1:12" hidden="1" x14ac:dyDescent="0.2">
      <c r="A152" s="182"/>
      <c r="B152" s="177" t="s">
        <v>4337</v>
      </c>
      <c r="C152" s="262" t="str">
        <f>IFERROR(VLOOKUP(B152,'ПО КОРИСНИЦИМА'!$C$16:$S$1823,5,FALSE),"")</f>
        <v/>
      </c>
      <c r="D152" s="248">
        <f>SUMIF('ПО КОРИСНИЦИМА'!$G$16:$G$1823,"Свега за пројекат 1502-П21:",'ПО КОРИСНИЦИМА'!$H$16:$H$1823)</f>
        <v>0</v>
      </c>
      <c r="E152" s="248"/>
      <c r="F152" s="280"/>
      <c r="G152" s="249">
        <f>SUMIF('ПО КОРИСНИЦИМА'!$G$16:$G$1823,"Свега за пројекат 1502-П21:",'ПО КОРИСНИЦИМА'!$L$16:$L$1823)</f>
        <v>0</v>
      </c>
      <c r="H152" s="249"/>
      <c r="I152" s="287"/>
      <c r="J152" s="246">
        <f t="shared" si="8"/>
        <v>0</v>
      </c>
      <c r="K152" s="246"/>
      <c r="L152" s="279"/>
    </row>
    <row r="153" spans="1:12" hidden="1" x14ac:dyDescent="0.2">
      <c r="A153" s="182"/>
      <c r="B153" s="177" t="s">
        <v>4338</v>
      </c>
      <c r="C153" s="262" t="str">
        <f>IFERROR(VLOOKUP(B153,'ПО КОРИСНИЦИМА'!$C$16:$S$1823,5,FALSE),"")</f>
        <v/>
      </c>
      <c r="D153" s="248">
        <f>SUMIF('ПО КОРИСНИЦИМА'!$G$16:$G$1823,"Свега за пројекат 1502-П22:",'ПО КОРИСНИЦИМА'!$H$16:$H$1823)</f>
        <v>0</v>
      </c>
      <c r="E153" s="248"/>
      <c r="F153" s="280"/>
      <c r="G153" s="249">
        <f>SUMIF('ПО КОРИСНИЦИМА'!$G$16:$G$1823,"Свега за пројекат 1502-П22:",'ПО КОРИСНИЦИМА'!$L$16:$L$1823)</f>
        <v>0</v>
      </c>
      <c r="H153" s="249"/>
      <c r="I153" s="287"/>
      <c r="J153" s="246">
        <f t="shared" si="8"/>
        <v>0</v>
      </c>
      <c r="K153" s="246"/>
      <c r="L153" s="279"/>
    </row>
    <row r="154" spans="1:12" hidden="1" x14ac:dyDescent="0.2">
      <c r="A154" s="182"/>
      <c r="B154" s="177" t="s">
        <v>4339</v>
      </c>
      <c r="C154" s="262" t="str">
        <f>IFERROR(VLOOKUP(B154,'ПО КОРИСНИЦИМА'!$C$16:$S$1823,5,FALSE),"")</f>
        <v/>
      </c>
      <c r="D154" s="248">
        <f>SUMIF('ПО КОРИСНИЦИМА'!$G$16:$G$1823,"Свега за пројекат 1502-П23:",'ПО КОРИСНИЦИМА'!$H$16:$H$1823)</f>
        <v>0</v>
      </c>
      <c r="E154" s="248"/>
      <c r="F154" s="280"/>
      <c r="G154" s="249">
        <f>SUMIF('ПО КОРИСНИЦИМА'!$G$16:$G$1823,"Свега за пројекат 1502-П23:",'ПО КОРИСНИЦИМА'!$L$16:$L$1823)</f>
        <v>0</v>
      </c>
      <c r="H154" s="249"/>
      <c r="I154" s="287"/>
      <c r="J154" s="246">
        <f t="shared" si="8"/>
        <v>0</v>
      </c>
      <c r="K154" s="246"/>
      <c r="L154" s="279"/>
    </row>
    <row r="155" spans="1:12" hidden="1" x14ac:dyDescent="0.2">
      <c r="A155" s="183"/>
      <c r="B155" s="177" t="s">
        <v>4340</v>
      </c>
      <c r="C155" s="262" t="str">
        <f>IFERROR(VLOOKUP(B155,'ПО КОРИСНИЦИМА'!$C$16:$S$1823,5,FALSE),"")</f>
        <v/>
      </c>
      <c r="D155" s="248">
        <f>SUMIF('ПО КОРИСНИЦИМА'!$G$16:$G$1823,"Свега за пројекат 1502-П24:",'ПО КОРИСНИЦИМА'!$H$16:$H$1823)</f>
        <v>0</v>
      </c>
      <c r="E155" s="248"/>
      <c r="F155" s="280"/>
      <c r="G155" s="249">
        <f>SUMIF('ПО КОРИСНИЦИМА'!$G$16:$G$1823,"Свега за пројекат 1502-П24:",'ПО КОРИСНИЦИМА'!$L$16:$L$1823)</f>
        <v>0</v>
      </c>
      <c r="H155" s="249"/>
      <c r="I155" s="287"/>
      <c r="J155" s="246">
        <f t="shared" si="8"/>
        <v>0</v>
      </c>
      <c r="K155" s="272"/>
      <c r="L155" s="294"/>
    </row>
    <row r="156" spans="1:12" s="180" customFormat="1" x14ac:dyDescent="0.2">
      <c r="A156" s="173" t="s">
        <v>3573</v>
      </c>
      <c r="B156" s="174"/>
      <c r="C156" s="260" t="s">
        <v>3671</v>
      </c>
      <c r="D156" s="242">
        <f>SUM(D157:D158)</f>
        <v>18151648</v>
      </c>
      <c r="E156" s="242">
        <f>SUM(E157:E158)</f>
        <v>13114962.02</v>
      </c>
      <c r="F156" s="282">
        <f>E156/D156</f>
        <v>0.72252183493201272</v>
      </c>
      <c r="G156" s="243">
        <f>SUM(G158:G173)</f>
        <v>0</v>
      </c>
      <c r="H156" s="243">
        <f>SUM(H158:H173)</f>
        <v>0</v>
      </c>
      <c r="I156" s="289"/>
      <c r="J156" s="242">
        <f t="shared" ref="J156:J187" si="9">D156+G156</f>
        <v>18151648</v>
      </c>
      <c r="K156" s="242">
        <f>E156+H156</f>
        <v>13114962.02</v>
      </c>
      <c r="L156" s="282">
        <f>K156/J156</f>
        <v>0.72252183493201272</v>
      </c>
    </row>
    <row r="157" spans="1:12" s="180" customFormat="1" ht="38.25" x14ac:dyDescent="0.2">
      <c r="A157" s="439"/>
      <c r="B157" s="440" t="s">
        <v>5029</v>
      </c>
      <c r="C157" s="441" t="s">
        <v>5030</v>
      </c>
      <c r="D157" s="442">
        <f>SUMIF('ПО КОРИСНИЦИМА'!$G$16:$G$1823,"Свега за програмску активност 0101-0001:",'ПО КОРИСНИЦИМА'!$H$16:$H$1823)</f>
        <v>9050000</v>
      </c>
      <c r="E157" s="442">
        <f>SUMIF('ПО КОРИСНИЦИМА'!$G$16:$G$1823,"Свега за програмску активност 0101-0001:",'ПО КОРИСНИЦИМА'!$I$16:$I$1823)</f>
        <v>10587087.140000001</v>
      </c>
      <c r="F157" s="443">
        <f>E157/D157</f>
        <v>1.1698438828729283</v>
      </c>
      <c r="G157" s="444">
        <f>SUMIF('ПО КОРИСНИЦИМА'!$G$16:$G$1823,"Свега за програмску активност 0101-0001:",'ПО КОРИСНИЦИМА'!$L$16:$L$1823)</f>
        <v>0</v>
      </c>
      <c r="H157" s="444">
        <f>SUMIF('ПО КОРИСНИЦИМА'!$G$16:$G$1823,"Свега за програмску активност 0101-0002:",'ПО КОРИСНИЦИМА'!$M$16:$M$1823)</f>
        <v>0</v>
      </c>
      <c r="I157" s="445"/>
      <c r="J157" s="442">
        <f t="shared" si="9"/>
        <v>9050000</v>
      </c>
      <c r="K157" s="516"/>
      <c r="L157" s="517"/>
    </row>
    <row r="158" spans="1:12" x14ac:dyDescent="0.2">
      <c r="A158" s="177"/>
      <c r="B158" s="182" t="s">
        <v>4065</v>
      </c>
      <c r="C158" s="262" t="str">
        <f>IFERROR(VLOOKUP(B158,'ПО КОРИСНИЦИМА'!$C$16:$S$1823,5,FALSE),"")</f>
        <v>Мере подршке руралном развоју</v>
      </c>
      <c r="D158" s="246">
        <f>SUMIF('ПО КОРИСНИЦИМА'!$G$16:$G$1823,"Свега за програмску активност 0101-0002:",'ПО КОРИСНИЦИМА'!$H$16:$H$1823)</f>
        <v>9101648</v>
      </c>
      <c r="E158" s="246">
        <f>SUMIF('ПО КОРИСНИЦИМА'!$G$16:$G$1823,"Свега за програмску активност 0101-0002:",'ПО КОРИСНИЦИМА'!$I$16:$I$1823)</f>
        <v>2527874.88</v>
      </c>
      <c r="F158" s="279">
        <f>E158/D158</f>
        <v>0.27773815027783977</v>
      </c>
      <c r="G158" s="247">
        <f>SUMIF('ПО КОРИСНИЦИМА'!$G$16:$G$1823,"Свега за програмску активност 0101-0002:",'ПО КОРИСНИЦИМА'!$L$16:$L$1823)</f>
        <v>0</v>
      </c>
      <c r="H158" s="247">
        <f>SUMIF('ПО КОРИСНИЦИМА'!$G$16:$G$1823,"Свега за програмску активност 0101-0002:",'ПО КОРИСНИЦИМА'!$M$16:$M$1823)</f>
        <v>0</v>
      </c>
      <c r="I158" s="286"/>
      <c r="J158" s="246">
        <f t="shared" si="9"/>
        <v>9101648</v>
      </c>
      <c r="K158" s="246">
        <f>E158+H158</f>
        <v>2527874.88</v>
      </c>
      <c r="L158" s="279">
        <f>K158/J158</f>
        <v>0.27773815027783977</v>
      </c>
    </row>
    <row r="159" spans="1:12" hidden="1" x14ac:dyDescent="0.2">
      <c r="A159" s="182"/>
      <c r="B159" s="185" t="s">
        <v>4341</v>
      </c>
      <c r="C159" s="262" t="str">
        <f>IFERROR(VLOOKUP(B159,'ПО КОРИСНИЦИМА'!$C$16:$S$1823,5,FALSE),"")</f>
        <v/>
      </c>
      <c r="D159" s="248">
        <f>SUMIF('ПО КОРИСНИЦИМА'!$G$16:$G$1823,"Свега за пројекат 0101-П2:",'ПО КОРИСНИЦИМА'!$H$16:$H$1823)</f>
        <v>0</v>
      </c>
      <c r="E159" s="248"/>
      <c r="F159" s="280"/>
      <c r="G159" s="249">
        <f>SUMIF('ПО КОРИСНИЦИМА'!$G$16:$G$1823,"Свега за пројекат 0101-П2:",'ПО КОРИСНИЦИМА'!$L$16:$L$1823)</f>
        <v>0</v>
      </c>
      <c r="H159" s="249"/>
      <c r="I159" s="287"/>
      <c r="J159" s="246">
        <f t="shared" si="9"/>
        <v>0</v>
      </c>
      <c r="K159" s="246"/>
      <c r="L159" s="279"/>
    </row>
    <row r="160" spans="1:12" hidden="1" x14ac:dyDescent="0.2">
      <c r="A160" s="182"/>
      <c r="B160" s="185" t="s">
        <v>4342</v>
      </c>
      <c r="C160" s="262" t="str">
        <f>IFERROR(VLOOKUP(B160,'ПО КОРИСНИЦИМА'!$C$16:$S$1823,5,FALSE),"")</f>
        <v/>
      </c>
      <c r="D160" s="248">
        <f>SUMIF('ПО КОРИСНИЦИМА'!$G$16:$G$1823,"Свега за пројекат 0101-П3:",'ПО КОРИСНИЦИМА'!$H$16:$H$1823)</f>
        <v>0</v>
      </c>
      <c r="E160" s="248"/>
      <c r="F160" s="280"/>
      <c r="G160" s="249">
        <f>SUMIF('ПО КОРИСНИЦИМА'!$G$16:$G$1823,"Свега за пројекат 0101-П3:",'ПО КОРИСНИЦИМА'!$L$16:$L$1823)</f>
        <v>0</v>
      </c>
      <c r="H160" s="249"/>
      <c r="I160" s="287"/>
      <c r="J160" s="246">
        <f t="shared" si="9"/>
        <v>0</v>
      </c>
      <c r="K160" s="246"/>
      <c r="L160" s="279"/>
    </row>
    <row r="161" spans="1:12" hidden="1" x14ac:dyDescent="0.2">
      <c r="A161" s="182"/>
      <c r="B161" s="185" t="s">
        <v>4343</v>
      </c>
      <c r="C161" s="262" t="str">
        <f>IFERROR(VLOOKUP(B161,'ПО КОРИСНИЦИМА'!$C$16:$S$1823,5,FALSE),"")</f>
        <v/>
      </c>
      <c r="D161" s="248">
        <f>SUMIF('ПО КОРИСНИЦИМА'!$G$16:$G$1823,"Свега за пројекат 0101-П4:",'ПО КОРИСНИЦИМА'!$H$16:$H$1823)</f>
        <v>0</v>
      </c>
      <c r="E161" s="248"/>
      <c r="F161" s="280"/>
      <c r="G161" s="249">
        <f>SUMIF('ПО КОРИСНИЦИМА'!$G$16:$G$1823,"Свега за пројекат 0101-П4:",'ПО КОРИСНИЦИМА'!$L$16:$L$1823)</f>
        <v>0</v>
      </c>
      <c r="H161" s="249"/>
      <c r="I161" s="287"/>
      <c r="J161" s="246">
        <f t="shared" si="9"/>
        <v>0</v>
      </c>
      <c r="K161" s="246"/>
      <c r="L161" s="279"/>
    </row>
    <row r="162" spans="1:12" hidden="1" x14ac:dyDescent="0.2">
      <c r="A162" s="182"/>
      <c r="B162" s="185" t="s">
        <v>4344</v>
      </c>
      <c r="C162" s="262" t="str">
        <f>IFERROR(VLOOKUP(B162,'ПО КОРИСНИЦИМА'!$C$16:$S$1823,5,FALSE),"")</f>
        <v/>
      </c>
      <c r="D162" s="248">
        <f>SUMIF('ПО КОРИСНИЦИМА'!$G$16:$G$1823,"Свега за пројекат 0101-П5:",'ПО КОРИСНИЦИМА'!$H$16:$H$1823)</f>
        <v>0</v>
      </c>
      <c r="E162" s="248"/>
      <c r="F162" s="280"/>
      <c r="G162" s="249">
        <f>SUMIF('ПО КОРИСНИЦИМА'!$G$16:$G$1823,"Свега за пројекат 0101-П5:",'ПО КОРИСНИЦИМА'!$L$16:$L$1823)</f>
        <v>0</v>
      </c>
      <c r="H162" s="249"/>
      <c r="I162" s="287"/>
      <c r="J162" s="246">
        <f t="shared" si="9"/>
        <v>0</v>
      </c>
      <c r="K162" s="246"/>
      <c r="L162" s="279"/>
    </row>
    <row r="163" spans="1:12" hidden="1" x14ac:dyDescent="0.2">
      <c r="A163" s="182"/>
      <c r="B163" s="185" t="s">
        <v>4345</v>
      </c>
      <c r="C163" s="262" t="str">
        <f>IFERROR(VLOOKUP(B163,'ПО КОРИСНИЦИМА'!$C$16:$S$1823,5,FALSE),"")</f>
        <v/>
      </c>
      <c r="D163" s="248">
        <f>SUMIF('ПО КОРИСНИЦИМА'!$G$16:$G$1823,"Свега за пројекат 0101-П6:",'ПО КОРИСНИЦИМА'!$H$16:$H$1823)</f>
        <v>0</v>
      </c>
      <c r="E163" s="248"/>
      <c r="F163" s="280"/>
      <c r="G163" s="249">
        <f>SUMIF('ПО КОРИСНИЦИМА'!$G$16:$G$1823,"Свега за пројекат 0101-П6:",'ПО КОРИСНИЦИМА'!$L$16:$L$1823)</f>
        <v>0</v>
      </c>
      <c r="H163" s="249"/>
      <c r="I163" s="287"/>
      <c r="J163" s="246">
        <f t="shared" si="9"/>
        <v>0</v>
      </c>
      <c r="K163" s="246"/>
      <c r="L163" s="279"/>
    </row>
    <row r="164" spans="1:12" hidden="1" x14ac:dyDescent="0.2">
      <c r="A164" s="182"/>
      <c r="B164" s="185" t="s">
        <v>4346</v>
      </c>
      <c r="C164" s="262" t="str">
        <f>IFERROR(VLOOKUP(B164,'ПО КОРИСНИЦИМА'!$C$16:$S$1823,5,FALSE),"")</f>
        <v/>
      </c>
      <c r="D164" s="248">
        <f>SUMIF('ПО КОРИСНИЦИМА'!$G$16:$G$1823,"Свега за пројекат 0101-П7:",'ПО КОРИСНИЦИМА'!$H$16:$H$1823)</f>
        <v>0</v>
      </c>
      <c r="E164" s="248"/>
      <c r="F164" s="280"/>
      <c r="G164" s="249">
        <f>SUMIF('ПО КОРИСНИЦИМА'!$G$16:$G$1823,"Свега за пројекат 0101-П7:",'ПО КОРИСНИЦИМА'!$L$16:$L$1823)</f>
        <v>0</v>
      </c>
      <c r="H164" s="249"/>
      <c r="I164" s="287"/>
      <c r="J164" s="246">
        <f t="shared" si="9"/>
        <v>0</v>
      </c>
      <c r="K164" s="246"/>
      <c r="L164" s="279"/>
    </row>
    <row r="165" spans="1:12" hidden="1" x14ac:dyDescent="0.2">
      <c r="A165" s="182"/>
      <c r="B165" s="185" t="s">
        <v>4347</v>
      </c>
      <c r="C165" s="262" t="str">
        <f>IFERROR(VLOOKUP(B165,'ПО КОРИСНИЦИМА'!$C$16:$S$1823,5,FALSE),"")</f>
        <v/>
      </c>
      <c r="D165" s="248">
        <f>SUMIF('ПО КОРИСНИЦИМА'!$G$16:$G$1823,"Свега за пројекат 0101-П8:",'ПО КОРИСНИЦИМА'!$H$16:$H$1823)</f>
        <v>0</v>
      </c>
      <c r="E165" s="248"/>
      <c r="F165" s="280"/>
      <c r="G165" s="249">
        <f>SUMIF('ПО КОРИСНИЦИМА'!$G$16:$G$1823,"Свега за пројекат 0101-П8:",'ПО КОРИСНИЦИМА'!$L$16:$L$1823)</f>
        <v>0</v>
      </c>
      <c r="H165" s="249"/>
      <c r="I165" s="287"/>
      <c r="J165" s="246">
        <f t="shared" si="9"/>
        <v>0</v>
      </c>
      <c r="K165" s="246"/>
      <c r="L165" s="279"/>
    </row>
    <row r="166" spans="1:12" hidden="1" x14ac:dyDescent="0.2">
      <c r="A166" s="182"/>
      <c r="B166" s="185" t="s">
        <v>4348</v>
      </c>
      <c r="C166" s="262" t="str">
        <f>IFERROR(VLOOKUP(B166,'ПО КОРИСНИЦИМА'!$C$16:$S$1823,5,FALSE),"")</f>
        <v/>
      </c>
      <c r="D166" s="248">
        <f>SUMIF('ПО КОРИСНИЦИМА'!$G$16:$G$1823,"Свега за пројекат 0101-П9:",'ПО КОРИСНИЦИМА'!$H$16:$H$1823)</f>
        <v>0</v>
      </c>
      <c r="E166" s="248"/>
      <c r="F166" s="280"/>
      <c r="G166" s="249">
        <f>SUMIF('ПО КОРИСНИЦИМА'!$G$16:$G$1823,"Свега за пројекат 0101-П9:",'ПО КОРИСНИЦИМА'!$L$16:$L$1823)</f>
        <v>0</v>
      </c>
      <c r="H166" s="249"/>
      <c r="I166" s="287"/>
      <c r="J166" s="246">
        <f t="shared" si="9"/>
        <v>0</v>
      </c>
      <c r="K166" s="246"/>
      <c r="L166" s="279"/>
    </row>
    <row r="167" spans="1:12" hidden="1" x14ac:dyDescent="0.2">
      <c r="A167" s="182"/>
      <c r="B167" s="185" t="s">
        <v>4349</v>
      </c>
      <c r="C167" s="262" t="str">
        <f>IFERROR(VLOOKUP(B167,'ПО КОРИСНИЦИМА'!$C$16:$S$1823,5,FALSE),"")</f>
        <v/>
      </c>
      <c r="D167" s="248">
        <f>SUMIF('ПО КОРИСНИЦИМА'!$G$16:$G$1823,"Свега за пројекат 0101-П10:",'ПО КОРИСНИЦИМА'!$H$16:$H$1823)</f>
        <v>0</v>
      </c>
      <c r="E167" s="248"/>
      <c r="F167" s="280"/>
      <c r="G167" s="249">
        <f>SUMIF('ПО КОРИСНИЦИМА'!$G$16:$G$1823,"Свега за пројекат 0101-П10:",'ПО КОРИСНИЦИМА'!$L$16:$L$1823)</f>
        <v>0</v>
      </c>
      <c r="H167" s="249"/>
      <c r="I167" s="287"/>
      <c r="J167" s="246">
        <f t="shared" si="9"/>
        <v>0</v>
      </c>
      <c r="K167" s="246"/>
      <c r="L167" s="279"/>
    </row>
    <row r="168" spans="1:12" hidden="1" x14ac:dyDescent="0.2">
      <c r="A168" s="182"/>
      <c r="B168" s="185" t="s">
        <v>4350</v>
      </c>
      <c r="C168" s="262" t="str">
        <f>IFERROR(VLOOKUP(B168,'ПО КОРИСНИЦИМА'!$C$16:$S$1823,5,FALSE),"")</f>
        <v/>
      </c>
      <c r="D168" s="248">
        <f>SUMIF('ПО КОРИСНИЦИМА'!$G$16:$G$1823,"Свега за пројекат 0101-П11:",'ПО КОРИСНИЦИМА'!$H$16:$H$1823)</f>
        <v>0</v>
      </c>
      <c r="E168" s="248"/>
      <c r="F168" s="280"/>
      <c r="G168" s="249">
        <f>SUMIF('ПО КОРИСНИЦИМА'!$G$16:$G$1823,"Свега за пројекат 0101-П11:",'ПО КОРИСНИЦИМА'!$L$16:$L$1823)</f>
        <v>0</v>
      </c>
      <c r="H168" s="249"/>
      <c r="I168" s="287"/>
      <c r="J168" s="246">
        <f t="shared" si="9"/>
        <v>0</v>
      </c>
      <c r="K168" s="246"/>
      <c r="L168" s="279"/>
    </row>
    <row r="169" spans="1:12" hidden="1" x14ac:dyDescent="0.2">
      <c r="A169" s="182"/>
      <c r="B169" s="185" t="s">
        <v>4351</v>
      </c>
      <c r="C169" s="262" t="str">
        <f>IFERROR(VLOOKUP(B169,'ПО КОРИСНИЦИМА'!$C$16:$S$1823,5,FALSE),"")</f>
        <v/>
      </c>
      <c r="D169" s="248">
        <f>SUMIF('ПО КОРИСНИЦИМА'!$G$16:$G$1823,"Свега за пројекат 0101-П12:",'ПО КОРИСНИЦИМА'!$H$16:$H$1823)</f>
        <v>0</v>
      </c>
      <c r="E169" s="248"/>
      <c r="F169" s="280"/>
      <c r="G169" s="249">
        <f>SUMIF('ПО КОРИСНИЦИМА'!$G$16:$G$1823,"Свега за пројекат 0101-П12:",'ПО КОРИСНИЦИМА'!$L$16:$L$1823)</f>
        <v>0</v>
      </c>
      <c r="H169" s="249"/>
      <c r="I169" s="287"/>
      <c r="J169" s="246">
        <f t="shared" si="9"/>
        <v>0</v>
      </c>
      <c r="K169" s="246"/>
      <c r="L169" s="279"/>
    </row>
    <row r="170" spans="1:12" hidden="1" x14ac:dyDescent="0.2">
      <c r="A170" s="182"/>
      <c r="B170" s="185" t="s">
        <v>4352</v>
      </c>
      <c r="C170" s="262" t="str">
        <f>IFERROR(VLOOKUP(B170,'ПО КОРИСНИЦИМА'!$C$16:$S$1823,5,FALSE),"")</f>
        <v/>
      </c>
      <c r="D170" s="248">
        <f>SUMIF('ПО КОРИСНИЦИМА'!$G$16:$G$1823,"Свега за пројекат 0101-П13:",'ПО КОРИСНИЦИМА'!$H$16:$H$1823)</f>
        <v>0</v>
      </c>
      <c r="E170" s="248"/>
      <c r="F170" s="280"/>
      <c r="G170" s="249">
        <f>SUMIF('ПО КОРИСНИЦИМА'!$G$16:$G$1823,"Свега за пројекат 0101-П13:",'ПО КОРИСНИЦИМА'!$L$16:$L$1823)</f>
        <v>0</v>
      </c>
      <c r="H170" s="249"/>
      <c r="I170" s="287"/>
      <c r="J170" s="246">
        <f t="shared" si="9"/>
        <v>0</v>
      </c>
      <c r="K170" s="246"/>
      <c r="L170" s="279"/>
    </row>
    <row r="171" spans="1:12" hidden="1" x14ac:dyDescent="0.2">
      <c r="A171" s="182"/>
      <c r="B171" s="185" t="s">
        <v>4353</v>
      </c>
      <c r="C171" s="262" t="str">
        <f>IFERROR(VLOOKUP(B171,'ПО КОРИСНИЦИМА'!$C$16:$S$1823,5,FALSE),"")</f>
        <v/>
      </c>
      <c r="D171" s="248">
        <f>SUMIF('ПО КОРИСНИЦИМА'!$G$16:$G$1823,"Свега за пројекат 0101-П14:",'ПО КОРИСНИЦИМА'!$H$16:$H$1823)</f>
        <v>0</v>
      </c>
      <c r="E171" s="248"/>
      <c r="F171" s="280"/>
      <c r="G171" s="249">
        <f>SUMIF('ПО КОРИСНИЦИМА'!$G$16:$G$1823,"Свега за пројекат 0101-П14:",'ПО КОРИСНИЦИМА'!$L$16:$L$1823)</f>
        <v>0</v>
      </c>
      <c r="H171" s="249"/>
      <c r="I171" s="287"/>
      <c r="J171" s="246">
        <f t="shared" si="9"/>
        <v>0</v>
      </c>
      <c r="K171" s="246"/>
      <c r="L171" s="279"/>
    </row>
    <row r="172" spans="1:12" hidden="1" x14ac:dyDescent="0.2">
      <c r="A172" s="182"/>
      <c r="B172" s="185" t="s">
        <v>4354</v>
      </c>
      <c r="C172" s="262" t="str">
        <f>IFERROR(VLOOKUP(B172,'ПО КОРИСНИЦИМА'!$C$16:$S$1823,5,FALSE),"")</f>
        <v/>
      </c>
      <c r="D172" s="248">
        <f>SUMIF('ПО КОРИСНИЦИМА'!$G$16:$G$1823,"Свега за пројекат 0101-П15:",'ПО КОРИСНИЦИМА'!$H$16:$H$1823)</f>
        <v>0</v>
      </c>
      <c r="E172" s="248"/>
      <c r="F172" s="280"/>
      <c r="G172" s="249">
        <f>SUMIF('ПО КОРИСНИЦИМА'!$G$16:$G$1823,"Свега за пројекат 0101-П15:",'ПО КОРИСНИЦИМА'!$L$16:$L$1823)</f>
        <v>0</v>
      </c>
      <c r="H172" s="249"/>
      <c r="I172" s="287"/>
      <c r="J172" s="246">
        <f t="shared" si="9"/>
        <v>0</v>
      </c>
      <c r="K172" s="246"/>
      <c r="L172" s="279"/>
    </row>
    <row r="173" spans="1:12" hidden="1" x14ac:dyDescent="0.2">
      <c r="A173" s="183"/>
      <c r="B173" s="185" t="s">
        <v>4355</v>
      </c>
      <c r="C173" s="262" t="str">
        <f>IFERROR(VLOOKUP(B173,'ПО КОРИСНИЦИМА'!$C$16:$S$1823,5,FALSE),"")</f>
        <v/>
      </c>
      <c r="D173" s="248">
        <f>SUMIF('ПО КОРИСНИЦИМА'!$G$16:$G$1823,"Свега за пројекат 0101-П16:",'ПО КОРИСНИЦИМА'!$H$16:$H$1823)</f>
        <v>0</v>
      </c>
      <c r="E173" s="248"/>
      <c r="F173" s="280"/>
      <c r="G173" s="249">
        <f>SUMIF('ПО КОРИСНИЦИМА'!$G$16:$G$1823,"Свега за пројекат 0101-П16:",'ПО КОРИСНИЦИМА'!$L$16:$L$1823)</f>
        <v>0</v>
      </c>
      <c r="H173" s="249"/>
      <c r="I173" s="287"/>
      <c r="J173" s="246">
        <f t="shared" si="9"/>
        <v>0</v>
      </c>
      <c r="K173" s="272"/>
      <c r="L173" s="294"/>
    </row>
    <row r="174" spans="1:12" s="180" customFormat="1" ht="25.5" x14ac:dyDescent="0.2">
      <c r="A174" s="173" t="s">
        <v>3576</v>
      </c>
      <c r="B174" s="174"/>
      <c r="C174" s="260" t="s">
        <v>3672</v>
      </c>
      <c r="D174" s="242">
        <f>SUM(D175:D194)</f>
        <v>6048996</v>
      </c>
      <c r="E174" s="242">
        <f>SUM(E175:E194)</f>
        <v>4670989.5</v>
      </c>
      <c r="F174" s="282">
        <f>E174/D174</f>
        <v>0.77219252583403919</v>
      </c>
      <c r="G174" s="243">
        <f>SUM(G175:G194)</f>
        <v>0</v>
      </c>
      <c r="H174" s="243">
        <f>SUM(H175:H194)</f>
        <v>0</v>
      </c>
      <c r="I174" s="289"/>
      <c r="J174" s="242">
        <f t="shared" si="9"/>
        <v>6048996</v>
      </c>
      <c r="K174" s="242">
        <f t="shared" ref="K174:K179" si="10">E174+H174</f>
        <v>4670989.5</v>
      </c>
      <c r="L174" s="282">
        <f>K174/J174</f>
        <v>0.77219252583403919</v>
      </c>
    </row>
    <row r="175" spans="1:12" ht="25.5" x14ac:dyDescent="0.2">
      <c r="A175" s="175"/>
      <c r="B175" s="154" t="s">
        <v>4054</v>
      </c>
      <c r="C175" s="264" t="s">
        <v>4055</v>
      </c>
      <c r="D175" s="244">
        <f>SUMIF('ПО КОРИСНИЦИМА'!$G$16:$G$1823,"Свега за програмску активност 0401-0001:",'ПО КОРИСНИЦИМА'!$H$16:$H$1823)</f>
        <v>600000</v>
      </c>
      <c r="E175" s="244">
        <f>SUMIF('ПО КОРИСНИЦИМА'!$G$16:$G$1823,"Свега за програмску активност 0401-0001:",'ПО КОРИСНИЦИМА'!$I$16:$I$1823)</f>
        <v>21600</v>
      </c>
      <c r="F175" s="278">
        <f>E175/D175</f>
        <v>3.5999999999999997E-2</v>
      </c>
      <c r="G175" s="245">
        <f>SUMIF('ПО КОРИСНИЦИМА'!$G$16:$G$1823,"Свега за програмску активност 0401-0001:",'ПО КОРИСНИЦИМА'!$L$16:$L$1823)</f>
        <v>0</v>
      </c>
      <c r="H175" s="245">
        <f>SUMIF('ПО КОРИСНИЦИМА'!$G$16:$G$1823,"Свега за програмску активност 0401-0001:",'ПО КОРИСНИЦИМА'!$M$16:$M$1823)</f>
        <v>0</v>
      </c>
      <c r="I175" s="285"/>
      <c r="J175" s="244">
        <f t="shared" si="9"/>
        <v>600000</v>
      </c>
      <c r="K175" s="244">
        <f t="shared" si="10"/>
        <v>21600</v>
      </c>
      <c r="L175" s="278">
        <f>K175/J175</f>
        <v>3.5999999999999997E-2</v>
      </c>
    </row>
    <row r="176" spans="1:12" hidden="1" x14ac:dyDescent="0.2">
      <c r="A176" s="177"/>
      <c r="B176" s="85" t="s">
        <v>4056</v>
      </c>
      <c r="C176" s="265" t="s">
        <v>4057</v>
      </c>
      <c r="D176" s="246">
        <f>SUMIF('ПО КОРИСНИЦИМА'!$G$16:$G$1823,"Свега за програмску активност 0401-0002:",'ПО КОРИСНИЦИМА'!$H$16:$H$1823)</f>
        <v>0</v>
      </c>
      <c r="E176" s="246">
        <f>SUMIF('ПО КОРИСНИЦИМА'!$G$16:$G$1823,"Свега за програмску активност 0401-0002:",'ПО КОРИСНИЦИМА'!$I$16:$I$1823)</f>
        <v>0</v>
      </c>
      <c r="F176" s="279"/>
      <c r="G176" s="247">
        <f>SUMIF('ПО КОРИСНИЦИМА'!$G$16:$G$1823,"Свега за програмску активност 0401-0002:",'ПО КОРИСНИЦИМА'!$L$16:$L$1823)</f>
        <v>0</v>
      </c>
      <c r="H176" s="247">
        <f>SUMIF('ПО КОРИСНИЦИМА'!$G$16:$G$1823,"Свега за програмску активност 0401-0002:",'ПО КОРИСНИЦИМА'!$M$16:$M$1823)</f>
        <v>0</v>
      </c>
      <c r="I176" s="286"/>
      <c r="J176" s="246">
        <f t="shared" si="9"/>
        <v>0</v>
      </c>
      <c r="K176" s="246">
        <f t="shared" si="10"/>
        <v>0</v>
      </c>
      <c r="L176" s="279"/>
    </row>
    <row r="177" spans="1:12" ht="25.5" hidden="1" x14ac:dyDescent="0.2">
      <c r="A177" s="177"/>
      <c r="B177" s="85" t="s">
        <v>4058</v>
      </c>
      <c r="C177" s="265" t="s">
        <v>4059</v>
      </c>
      <c r="D177" s="246">
        <f>SUMIF('ПО КОРИСНИЦИМА'!$G$16:$G$1823,"Свега за програмску активност 0401-0003:",'ПО КОРИСНИЦИМА'!$H$16:$H$1823)</f>
        <v>0</v>
      </c>
      <c r="E177" s="246">
        <f>SUMIF('ПО КОРИСНИЦИМА'!$G$16:$G$1823,"Свега за програмску активност 0401-0003:",'ПО КОРИСНИЦИМА'!$I$16:$I$1823)</f>
        <v>0</v>
      </c>
      <c r="F177" s="279"/>
      <c r="G177" s="247">
        <f>SUMIF('ПО КОРИСНИЦИМА'!$G$16:$G$1823,"Свега за програмску активност 0401-0003:",'ПО КОРИСНИЦИМА'!$L$16:$L$1823)</f>
        <v>0</v>
      </c>
      <c r="H177" s="247">
        <f>SUMIF('ПО КОРИСНИЦИМА'!$G$16:$G$1823,"Свега за програмску активност 0401-0003:",'ПО КОРИСНИЦИМА'!$M$16:$M$1823)</f>
        <v>0</v>
      </c>
      <c r="I177" s="286"/>
      <c r="J177" s="246">
        <f t="shared" si="9"/>
        <v>0</v>
      </c>
      <c r="K177" s="246">
        <f t="shared" si="10"/>
        <v>0</v>
      </c>
      <c r="L177" s="279"/>
    </row>
    <row r="178" spans="1:12" ht="38.25" hidden="1" x14ac:dyDescent="0.2">
      <c r="A178" s="177"/>
      <c r="B178" s="85" t="s">
        <v>4060</v>
      </c>
      <c r="C178" s="265" t="s">
        <v>4061</v>
      </c>
      <c r="D178" s="246">
        <f>SUMIF('ПО КОРИСНИЦИМА'!$G$16:$G$1823,"Свега за програмску активност 0401-0004:",'ПО КОРИСНИЦИМА'!$H$16:$H$1823)</f>
        <v>0</v>
      </c>
      <c r="E178" s="246">
        <f>SUMIF('ПО КОРИСНИЦИМА'!$G$16:$G$1823,"Свега за програмску активност 0401-0004:",'ПО КОРИСНИЦИМА'!$I$16:$I$1823)</f>
        <v>0</v>
      </c>
      <c r="F178" s="279"/>
      <c r="G178" s="247">
        <f>SUMIF('ПО КОРИСНИЦИМА'!$G$16:$G$1823,"Свега за програмску активност 0401-0004:",'ПО КОРИСНИЦИМА'!$L$16:$L$1823)</f>
        <v>0</v>
      </c>
      <c r="H178" s="247">
        <f>SUMIF('ПО КОРИСНИЦИМА'!$G$16:$G$1823,"Свега за програмску активност 0401-0004:",'ПО КОРИСНИЦИМА'!$M$16:$M$1823)</f>
        <v>0</v>
      </c>
      <c r="I178" s="286"/>
      <c r="J178" s="246">
        <f t="shared" si="9"/>
        <v>0</v>
      </c>
      <c r="K178" s="246">
        <f t="shared" si="10"/>
        <v>0</v>
      </c>
      <c r="L178" s="279"/>
    </row>
    <row r="179" spans="1:12" x14ac:dyDescent="0.2">
      <c r="A179" s="417"/>
      <c r="B179" s="418" t="s">
        <v>4966</v>
      </c>
      <c r="C179" s="419" t="s">
        <v>4057</v>
      </c>
      <c r="D179" s="420">
        <f>SUMIF('ПО КОРИСНИЦИМА'!$G$16:$G$1823,"Свега за програмску активност 0401-0005:",'ПО КОРИСНИЦИМА'!$H$16:$H$1823)</f>
        <v>5448996</v>
      </c>
      <c r="E179" s="420">
        <f>SUMIF('ПО КОРИСНИЦИМА'!$G$16:$G$1823,"Свега за програмску активност 0401-0005:",'ПО КОРИСНИЦИМА'!$I$16:$I$1823)</f>
        <v>4649389.5</v>
      </c>
      <c r="F179" s="421">
        <f>E179/D179</f>
        <v>0.8532561778353297</v>
      </c>
      <c r="G179" s="422">
        <f>SUMIF('ПО КОРИСНИЦИМА'!$G$16:$G$1823,"Свега за програмску активност 0401-0001:",'ПО КОРИСНИЦИМА'!$L$16:$L$1823)</f>
        <v>0</v>
      </c>
      <c r="H179" s="422">
        <f>SUMIF('ПО КОРИСНИЦИМА'!$G$16:$G$1823,"Свега за програмску активност 0401-0001:",'ПО КОРИСНИЦИМА'!$M$16:$M$1823)</f>
        <v>0</v>
      </c>
      <c r="I179" s="423"/>
      <c r="J179" s="420">
        <f t="shared" si="9"/>
        <v>5448996</v>
      </c>
      <c r="K179" s="420">
        <f t="shared" si="10"/>
        <v>4649389.5</v>
      </c>
      <c r="L179" s="421">
        <f>K179/J179</f>
        <v>0.8532561778353297</v>
      </c>
    </row>
    <row r="180" spans="1:12" hidden="1" x14ac:dyDescent="0.2">
      <c r="A180" s="177"/>
      <c r="B180" s="85" t="s">
        <v>4356</v>
      </c>
      <c r="C180" s="262" t="str">
        <f>IFERROR(VLOOKUP(B180,'ПО КОРИСНИЦИМА'!$C$16:$S$1823,5,FALSE),"")</f>
        <v/>
      </c>
      <c r="D180" s="248">
        <f>SUMIF('ПО КОРИСНИЦИМА'!$G$16:$G$1823,"Свега за пројекат 0401-П1:",'ПО КОРИСНИЦИМА'!$H$16:$H$1823)</f>
        <v>0</v>
      </c>
      <c r="E180" s="248"/>
      <c r="F180" s="280"/>
      <c r="G180" s="249">
        <f>SUMIF('ПО КОРИСНИЦИМА'!$G$16:$G$1823,"Свега за пројекат 0401-П1:",'ПО КОРИСНИЦИМА'!$L$16:$L$1823)</f>
        <v>0</v>
      </c>
      <c r="H180" s="249"/>
      <c r="I180" s="287"/>
      <c r="J180" s="246">
        <f t="shared" si="9"/>
        <v>0</v>
      </c>
      <c r="K180" s="246"/>
      <c r="L180" s="279"/>
    </row>
    <row r="181" spans="1:12" hidden="1" x14ac:dyDescent="0.2">
      <c r="A181" s="177"/>
      <c r="B181" s="85" t="s">
        <v>4357</v>
      </c>
      <c r="C181" s="262" t="str">
        <f>IFERROR(VLOOKUP(B181,'ПО КОРИСНИЦИМА'!$C$16:$S$1823,5,FALSE),"")</f>
        <v/>
      </c>
      <c r="D181" s="248">
        <f>SUMIF('ПО КОРИСНИЦИМА'!$G$16:$G$1823,"Свега за пројекат 0401-П2:",'ПО КОРИСНИЦИМА'!$H$16:$H$1823)</f>
        <v>0</v>
      </c>
      <c r="E181" s="248"/>
      <c r="F181" s="280"/>
      <c r="G181" s="249">
        <f>SUMIF('ПО КОРИСНИЦИМА'!$G$16:$G$1823,"Свега за пројекат 0401-П2:",'ПО КОРИСНИЦИМА'!$L$16:$L$1823)</f>
        <v>0</v>
      </c>
      <c r="H181" s="249"/>
      <c r="I181" s="287"/>
      <c r="J181" s="246">
        <f t="shared" si="9"/>
        <v>0</v>
      </c>
      <c r="K181" s="246"/>
      <c r="L181" s="279"/>
    </row>
    <row r="182" spans="1:12" hidden="1" x14ac:dyDescent="0.2">
      <c r="A182" s="177"/>
      <c r="B182" s="85" t="s">
        <v>4358</v>
      </c>
      <c r="C182" s="262" t="str">
        <f>IFERROR(VLOOKUP(B182,'ПО КОРИСНИЦИМА'!$C$16:$S$1823,5,FALSE),"")</f>
        <v/>
      </c>
      <c r="D182" s="248">
        <f>SUMIF('ПО КОРИСНИЦИМА'!$G$16:$G$1823,"Свега за пројекат 0401-П3:",'ПО КОРИСНИЦИМА'!$H$16:$H$1823)</f>
        <v>0</v>
      </c>
      <c r="E182" s="248"/>
      <c r="F182" s="280"/>
      <c r="G182" s="249">
        <f>SUMIF('ПО КОРИСНИЦИМА'!$G$16:$G$1823,"Свега за пројекат 0401-П3:",'ПО КОРИСНИЦИМА'!$L$16:$L$1823)</f>
        <v>0</v>
      </c>
      <c r="H182" s="249"/>
      <c r="I182" s="287"/>
      <c r="J182" s="246">
        <f t="shared" si="9"/>
        <v>0</v>
      </c>
      <c r="K182" s="246"/>
      <c r="L182" s="279"/>
    </row>
    <row r="183" spans="1:12" hidden="1" x14ac:dyDescent="0.2">
      <c r="A183" s="177"/>
      <c r="B183" s="85" t="s">
        <v>4359</v>
      </c>
      <c r="C183" s="262" t="str">
        <f>IFERROR(VLOOKUP(B183,'ПО КОРИСНИЦИМА'!$C$16:$S$1823,5,FALSE),"")</f>
        <v/>
      </c>
      <c r="D183" s="248">
        <f>SUMIF('ПО КОРИСНИЦИМА'!$G$16:$G$1823,"Свега за пројекат 0401-П4:",'ПО КОРИСНИЦИМА'!$H$16:$H$1823)</f>
        <v>0</v>
      </c>
      <c r="E183" s="248"/>
      <c r="F183" s="280"/>
      <c r="G183" s="249">
        <f>SUMIF('ПО КОРИСНИЦИМА'!$G$16:$G$1823,"Свега за пројекат 0401-П4:",'ПО КОРИСНИЦИМА'!$L$16:$L$1823)</f>
        <v>0</v>
      </c>
      <c r="H183" s="249"/>
      <c r="I183" s="287"/>
      <c r="J183" s="246">
        <f t="shared" si="9"/>
        <v>0</v>
      </c>
      <c r="K183" s="246"/>
      <c r="L183" s="279"/>
    </row>
    <row r="184" spans="1:12" hidden="1" x14ac:dyDescent="0.2">
      <c r="A184" s="177"/>
      <c r="B184" s="85" t="s">
        <v>4360</v>
      </c>
      <c r="C184" s="262" t="str">
        <f>IFERROR(VLOOKUP(B184,'ПО КОРИСНИЦИМА'!$C$16:$S$1823,5,FALSE),"")</f>
        <v/>
      </c>
      <c r="D184" s="248">
        <f>SUMIF('ПО КОРИСНИЦИМА'!$G$16:$G$1823,"Свега за пројекат 0401-П5:",'ПО КОРИСНИЦИМА'!$H$16:$H$1823)</f>
        <v>0</v>
      </c>
      <c r="E184" s="248"/>
      <c r="F184" s="280"/>
      <c r="G184" s="249">
        <f>SUMIF('ПО КОРИСНИЦИМА'!$G$16:$G$1823,"Свега за пројекат 0401-П5:",'ПО КОРИСНИЦИМА'!$L$16:$L$1823)</f>
        <v>0</v>
      </c>
      <c r="H184" s="249"/>
      <c r="I184" s="287"/>
      <c r="J184" s="246">
        <f t="shared" si="9"/>
        <v>0</v>
      </c>
      <c r="K184" s="246"/>
      <c r="L184" s="279"/>
    </row>
    <row r="185" spans="1:12" hidden="1" x14ac:dyDescent="0.2">
      <c r="A185" s="177"/>
      <c r="B185" s="85" t="s">
        <v>4361</v>
      </c>
      <c r="C185" s="262" t="str">
        <f>IFERROR(VLOOKUP(B185,'ПО КОРИСНИЦИМА'!$C$16:$S$1823,5,FALSE),"")</f>
        <v/>
      </c>
      <c r="D185" s="248">
        <f>SUMIF('ПО КОРИСНИЦИМА'!$G$16:$G$1823,"Свега за пројекат 0401-П6:",'ПО КОРИСНИЦИМА'!$H$16:$H$1823)</f>
        <v>0</v>
      </c>
      <c r="E185" s="248"/>
      <c r="F185" s="280"/>
      <c r="G185" s="249">
        <f>SUMIF('ПО КОРИСНИЦИМА'!$G$16:$G$1823,"Свега за пројекат 0401-П6:",'ПО КОРИСНИЦИМА'!$L$16:$L$1823)</f>
        <v>0</v>
      </c>
      <c r="H185" s="249"/>
      <c r="I185" s="287"/>
      <c r="J185" s="246">
        <f t="shared" si="9"/>
        <v>0</v>
      </c>
      <c r="K185" s="246"/>
      <c r="L185" s="279"/>
    </row>
    <row r="186" spans="1:12" hidden="1" x14ac:dyDescent="0.2">
      <c r="A186" s="177"/>
      <c r="B186" s="85" t="s">
        <v>4362</v>
      </c>
      <c r="C186" s="262" t="str">
        <f>IFERROR(VLOOKUP(B186,'ПО КОРИСНИЦИМА'!$C$16:$S$1823,5,FALSE),"")</f>
        <v/>
      </c>
      <c r="D186" s="248">
        <f>SUMIF('ПО КОРИСНИЦИМА'!$G$16:$G$1823,"Свега за пројекат 0401-П7:",'ПО КОРИСНИЦИМА'!$H$16:$H$1823)</f>
        <v>0</v>
      </c>
      <c r="E186" s="248"/>
      <c r="F186" s="280"/>
      <c r="G186" s="249">
        <f>SUMIF('ПО КОРИСНИЦИМА'!$G$16:$G$1823,"Свега за пројекат 0401-П7:",'ПО КОРИСНИЦИМА'!$L$16:$L$1823)</f>
        <v>0</v>
      </c>
      <c r="H186" s="249"/>
      <c r="I186" s="287"/>
      <c r="J186" s="246">
        <f t="shared" si="9"/>
        <v>0</v>
      </c>
      <c r="K186" s="246"/>
      <c r="L186" s="279"/>
    </row>
    <row r="187" spans="1:12" hidden="1" x14ac:dyDescent="0.2">
      <c r="A187" s="177"/>
      <c r="B187" s="85" t="s">
        <v>4363</v>
      </c>
      <c r="C187" s="262" t="str">
        <f>IFERROR(VLOOKUP(B187,'ПО КОРИСНИЦИМА'!$C$16:$S$1823,5,FALSE),"")</f>
        <v/>
      </c>
      <c r="D187" s="248">
        <f>SUMIF('ПО КОРИСНИЦИМА'!$G$16:$G$1823,"Свега за пројекат 0401-П8:",'ПО КОРИСНИЦИМА'!$H$16:$H$1823)</f>
        <v>0</v>
      </c>
      <c r="E187" s="248"/>
      <c r="F187" s="280"/>
      <c r="G187" s="249">
        <f>SUMIF('ПО КОРИСНИЦИМА'!$G$16:$G$1823,"Свега за пројекат 0401-П8:",'ПО КОРИСНИЦИМА'!$L$16:$L$1823)</f>
        <v>0</v>
      </c>
      <c r="H187" s="249"/>
      <c r="I187" s="287"/>
      <c r="J187" s="246">
        <f t="shared" si="9"/>
        <v>0</v>
      </c>
      <c r="K187" s="246"/>
      <c r="L187" s="279"/>
    </row>
    <row r="188" spans="1:12" hidden="1" x14ac:dyDescent="0.2">
      <c r="A188" s="177"/>
      <c r="B188" s="85" t="s">
        <v>4364</v>
      </c>
      <c r="C188" s="262" t="str">
        <f>IFERROR(VLOOKUP(B188,'ПО КОРИСНИЦИМА'!$C$16:$S$1823,5,FALSE),"")</f>
        <v/>
      </c>
      <c r="D188" s="248">
        <f>SUMIF('ПО КОРИСНИЦИМА'!$G$16:$G$1823,"Свега за пројекат 0401-П9:",'ПО КОРИСНИЦИМА'!$H$16:$H$1823)</f>
        <v>0</v>
      </c>
      <c r="E188" s="248"/>
      <c r="F188" s="280"/>
      <c r="G188" s="249">
        <f>SUMIF('ПО КОРИСНИЦИМА'!$G$16:$G$1823,"Свега за пројекат 0401-П9:",'ПО КОРИСНИЦИМА'!$L$16:$L$1823)</f>
        <v>0</v>
      </c>
      <c r="H188" s="249"/>
      <c r="I188" s="287"/>
      <c r="J188" s="246">
        <f t="shared" ref="J188:J251" si="11">D188+G188</f>
        <v>0</v>
      </c>
      <c r="K188" s="246"/>
      <c r="L188" s="279"/>
    </row>
    <row r="189" spans="1:12" hidden="1" x14ac:dyDescent="0.2">
      <c r="A189" s="177"/>
      <c r="B189" s="85" t="s">
        <v>4365</v>
      </c>
      <c r="C189" s="262" t="str">
        <f>IFERROR(VLOOKUP(B189,'ПО КОРИСНИЦИМА'!$C$16:$S$1823,5,FALSE),"")</f>
        <v/>
      </c>
      <c r="D189" s="248">
        <f>SUMIF('ПО КОРИСНИЦИМА'!$G$16:$G$1823,"Свега за пројекат 0401-П10:",'ПО КОРИСНИЦИМА'!$H$16:$H$1823)</f>
        <v>0</v>
      </c>
      <c r="E189" s="248"/>
      <c r="F189" s="280"/>
      <c r="G189" s="249">
        <f>SUMIF('ПО КОРИСНИЦИМА'!$G$16:$G$1823,"Свега за пројекат 0401-П10:",'ПО КОРИСНИЦИМА'!$L$16:$L$1823)</f>
        <v>0</v>
      </c>
      <c r="H189" s="249"/>
      <c r="I189" s="287"/>
      <c r="J189" s="246">
        <f t="shared" si="11"/>
        <v>0</v>
      </c>
      <c r="K189" s="246"/>
      <c r="L189" s="279"/>
    </row>
    <row r="190" spans="1:12" hidden="1" x14ac:dyDescent="0.2">
      <c r="A190" s="177"/>
      <c r="B190" s="85" t="s">
        <v>4366</v>
      </c>
      <c r="C190" s="262" t="str">
        <f>IFERROR(VLOOKUP(B190,'ПО КОРИСНИЦИМА'!$C$16:$S$1823,5,FALSE),"")</f>
        <v/>
      </c>
      <c r="D190" s="248">
        <f>SUMIF('ПО КОРИСНИЦИМА'!$G$16:$G$1823,"Свега за пројекат 0401-П11:",'ПО КОРИСНИЦИМА'!$H$16:$H$1823)</f>
        <v>0</v>
      </c>
      <c r="E190" s="248"/>
      <c r="F190" s="280"/>
      <c r="G190" s="249">
        <f>SUMIF('ПО КОРИСНИЦИМА'!$G$16:$G$1823,"Свега за пројекат 0401-П11:",'ПО КОРИСНИЦИМА'!$L$16:$L$1823)</f>
        <v>0</v>
      </c>
      <c r="H190" s="249"/>
      <c r="I190" s="287"/>
      <c r="J190" s="246">
        <f t="shared" si="11"/>
        <v>0</v>
      </c>
      <c r="K190" s="246"/>
      <c r="L190" s="279"/>
    </row>
    <row r="191" spans="1:12" hidden="1" x14ac:dyDescent="0.2">
      <c r="A191" s="177"/>
      <c r="B191" s="85" t="s">
        <v>4367</v>
      </c>
      <c r="C191" s="262" t="str">
        <f>IFERROR(VLOOKUP(B191,'ПО КОРИСНИЦИМА'!$C$16:$S$1823,5,FALSE),"")</f>
        <v/>
      </c>
      <c r="D191" s="248">
        <f>SUMIF('ПО КОРИСНИЦИМА'!$G$16:$G$1823,"Свега за пројекат 0401-П12:",'ПО КОРИСНИЦИМА'!$H$16:$H$1823)</f>
        <v>0</v>
      </c>
      <c r="E191" s="248"/>
      <c r="F191" s="280"/>
      <c r="G191" s="249">
        <f>SUMIF('ПО КОРИСНИЦИМА'!$G$16:$G$1823,"Свега за пројекат 0401-П12:",'ПО КОРИСНИЦИМА'!$L$16:$L$1823)</f>
        <v>0</v>
      </c>
      <c r="H191" s="249"/>
      <c r="I191" s="287"/>
      <c r="J191" s="246">
        <f t="shared" si="11"/>
        <v>0</v>
      </c>
      <c r="K191" s="246"/>
      <c r="L191" s="279"/>
    </row>
    <row r="192" spans="1:12" hidden="1" x14ac:dyDescent="0.2">
      <c r="A192" s="177"/>
      <c r="B192" s="85" t="s">
        <v>4368</v>
      </c>
      <c r="C192" s="262" t="str">
        <f>IFERROR(VLOOKUP(B192,'ПО КОРИСНИЦИМА'!$C$16:$S$1823,5,FALSE),"")</f>
        <v/>
      </c>
      <c r="D192" s="248">
        <f>SUMIF('ПО КОРИСНИЦИМА'!$G$16:$G$1823,"Свега за пројекат 0401-П13:",'ПО КОРИСНИЦИМА'!$H$16:$H$1823)</f>
        <v>0</v>
      </c>
      <c r="E192" s="248"/>
      <c r="F192" s="280"/>
      <c r="G192" s="249">
        <f>SUMIF('ПО КОРИСНИЦИМА'!$G$16:$G$1823,"Свега за пројекат 0401-П13:",'ПО КОРИСНИЦИМА'!$L$16:$L$1823)</f>
        <v>0</v>
      </c>
      <c r="H192" s="249"/>
      <c r="I192" s="287"/>
      <c r="J192" s="246">
        <f t="shared" si="11"/>
        <v>0</v>
      </c>
      <c r="K192" s="246"/>
      <c r="L192" s="279"/>
    </row>
    <row r="193" spans="1:12" hidden="1" x14ac:dyDescent="0.2">
      <c r="A193" s="177"/>
      <c r="B193" s="85" t="s">
        <v>4369</v>
      </c>
      <c r="C193" s="262" t="str">
        <f>IFERROR(VLOOKUP(B193,'ПО КОРИСНИЦИМА'!$C$16:$S$1823,5,FALSE),"")</f>
        <v/>
      </c>
      <c r="D193" s="248">
        <f>SUMIF('ПО КОРИСНИЦИМА'!$G$16:$G$1823,"Свега за пројекат 0401-П14:",'ПО КОРИСНИЦИМА'!$H$16:$H$1823)</f>
        <v>0</v>
      </c>
      <c r="E193" s="248"/>
      <c r="F193" s="280"/>
      <c r="G193" s="249">
        <f>SUMIF('ПО КОРИСНИЦИМА'!$G$16:$G$1823,"Свега за пројекат 0401-П14:",'ПО КОРИСНИЦИМА'!$L$16:$L$1823)</f>
        <v>0</v>
      </c>
      <c r="H193" s="249"/>
      <c r="I193" s="287"/>
      <c r="J193" s="246">
        <f t="shared" si="11"/>
        <v>0</v>
      </c>
      <c r="K193" s="246"/>
      <c r="L193" s="279"/>
    </row>
    <row r="194" spans="1:12" hidden="1" x14ac:dyDescent="0.2">
      <c r="A194" s="183"/>
      <c r="B194" s="85" t="s">
        <v>4370</v>
      </c>
      <c r="C194" s="262" t="str">
        <f>IFERROR(VLOOKUP(B194,'ПО КОРИСНИЦИМА'!$C$16:$S$1823,5,FALSE),"")</f>
        <v/>
      </c>
      <c r="D194" s="248">
        <f>SUMIF('ПО КОРИСНИЦИМА'!$G$16:$G$1823,"Свега за пројекат 0401-П15:",'ПО КОРИСНИЦИМА'!$H$16:$H$1823)</f>
        <v>0</v>
      </c>
      <c r="E194" s="248"/>
      <c r="F194" s="280"/>
      <c r="G194" s="249">
        <f>SUMIF('ПО КОРИСНИЦИМА'!$G$16:$G$1823,"Свега за пројекат 0401-П15:",'ПО КОРИСНИЦИМА'!$L$16:$L$1823)</f>
        <v>0</v>
      </c>
      <c r="H194" s="249"/>
      <c r="I194" s="287"/>
      <c r="J194" s="246">
        <f t="shared" si="11"/>
        <v>0</v>
      </c>
      <c r="K194" s="272"/>
      <c r="L194" s="294"/>
    </row>
    <row r="195" spans="1:12" s="180" customFormat="1" ht="25.5" x14ac:dyDescent="0.2">
      <c r="A195" s="173" t="s">
        <v>3579</v>
      </c>
      <c r="B195" s="174"/>
      <c r="C195" s="260" t="s">
        <v>5017</v>
      </c>
      <c r="D195" s="242">
        <f>SUM(D196:D247)</f>
        <v>46107444</v>
      </c>
      <c r="E195" s="242">
        <f>SUM(E196:E247)</f>
        <v>27046953.869999997</v>
      </c>
      <c r="F195" s="282">
        <f>E195/D195</f>
        <v>0.58660709689307433</v>
      </c>
      <c r="G195" s="243">
        <f>SUM(G196:G247)</f>
        <v>12529792</v>
      </c>
      <c r="H195" s="243">
        <f>SUM(H196:H247)</f>
        <v>290000</v>
      </c>
      <c r="I195" s="289">
        <f>H195/G195</f>
        <v>2.3144837520048218E-2</v>
      </c>
      <c r="J195" s="253">
        <f t="shared" si="11"/>
        <v>58637236</v>
      </c>
      <c r="K195" s="253">
        <f>E195+H195</f>
        <v>27336953.869999997</v>
      </c>
      <c r="L195" s="295">
        <f>K195/J195</f>
        <v>0.46620468041842894</v>
      </c>
    </row>
    <row r="196" spans="1:12" hidden="1" x14ac:dyDescent="0.2">
      <c r="A196" s="175"/>
      <c r="B196" s="181" t="s">
        <v>4099</v>
      </c>
      <c r="C196" s="267"/>
      <c r="D196" s="244">
        <f>SUMIF('ПО КОРИСНИЦИМА'!$G$16:$G$1823,"Свега за програмску активност 0701-0001:",'ПО КОРИСНИЦИМА'!$H$16:$H$1823)</f>
        <v>0</v>
      </c>
      <c r="E196" s="244">
        <f>SUMIF('ПО КОРИСНИЦИМА'!$G$16:$G$1823,"Свега за програмску активност 0701-0001:",'ПО КОРИСНИЦИМА'!$I$16:$I$1823)</f>
        <v>0</v>
      </c>
      <c r="F196" s="301" t="e">
        <f>E196/D196</f>
        <v>#DIV/0!</v>
      </c>
      <c r="G196" s="245">
        <f>SUMIF('ПО КОРИСНИЦИМА'!$G$16:$G$1823,"Свега за програмску активност 0701-0001:",'ПО КОРИСНИЦИМА'!$L$16:$L$1823)</f>
        <v>0</v>
      </c>
      <c r="H196" s="245">
        <f>SUMIF('ПО КОРИСНИЦИМА'!$G$16:$G$1823,"Свега за програмску активност 0701-0001:",'ПО КОРИСНИЦИМА'!$M$16:$M$1823)</f>
        <v>0</v>
      </c>
      <c r="I196" s="285" t="e">
        <f>H196/G196</f>
        <v>#DIV/0!</v>
      </c>
      <c r="J196" s="244">
        <f t="shared" si="11"/>
        <v>0</v>
      </c>
      <c r="K196" s="244">
        <f>E196+H196</f>
        <v>0</v>
      </c>
      <c r="L196" s="278" t="e">
        <f>K196/J196</f>
        <v>#DIV/0!</v>
      </c>
    </row>
    <row r="197" spans="1:12" ht="25.5" x14ac:dyDescent="0.2">
      <c r="A197" s="177"/>
      <c r="B197" s="185" t="s">
        <v>4219</v>
      </c>
      <c r="C197" s="268" t="s">
        <v>5115</v>
      </c>
      <c r="D197" s="246">
        <f>SUMIF('ПО КОРИСНИЦИМА'!$G$16:$G$1823,"Свега за програмску активност 0701-0002:",'ПО КОРИСНИЦИМА'!$H$16:$H$1823)</f>
        <v>33172296</v>
      </c>
      <c r="E197" s="246">
        <f>SUMIF('ПО КОРИСНИЦИМА'!$G$16:$G$1823,"Свега за програмску активност 0701-0002:",'ПО КОРИСНИЦИМА'!$I$16:$I$1823)</f>
        <v>26920337.899999999</v>
      </c>
      <c r="F197" s="279">
        <f>E197/D197</f>
        <v>0.81153073938566078</v>
      </c>
      <c r="G197" s="247">
        <f>SUMIF('ПО КОРИСНИЦИМА'!$G$16:$G$1823,"Свега за програмску активност 0701-0002:",'ПО КОРИСНИЦИМА'!$L$16:$L$1823)</f>
        <v>0</v>
      </c>
      <c r="H197" s="247">
        <f>SUMIF('ПО КОРИСНИЦИМА'!$G$16:$G$1823,"Свега за програмску активност 0701-0002:",'ПО КОРИСНИЦИМА'!$M$16:$M$1823)</f>
        <v>290000</v>
      </c>
      <c r="I197" s="286">
        <v>0</v>
      </c>
      <c r="J197" s="246">
        <f t="shared" si="11"/>
        <v>33172296</v>
      </c>
      <c r="K197" s="246">
        <f>E197+H197</f>
        <v>27210337.899999999</v>
      </c>
      <c r="L197" s="279">
        <f>K197/J197</f>
        <v>0.82027297417097689</v>
      </c>
    </row>
    <row r="198" spans="1:12" ht="25.5" x14ac:dyDescent="0.2">
      <c r="A198" s="182"/>
      <c r="B198" s="185" t="s">
        <v>4371</v>
      </c>
      <c r="C198" s="262" t="str">
        <f>IFERROR(VLOOKUP(B198,'ПО КОРИСНИЦИМА'!$C$16:$S$1823,5,FALSE),"")</f>
        <v xml:space="preserve">Реконструкција дела улице Бибе Карановић </v>
      </c>
      <c r="D198" s="248">
        <f>SUMIF('ПО КОРИСНИЦИМА'!$G$16:$G$1823,"Свега за пројекат 0701-П1:",'ПО КОРИСНИЦИМА'!$H$16:$H$1823)</f>
        <v>633808</v>
      </c>
      <c r="E198" s="248">
        <f>SUMIF('ПО КОРИСНИЦИМА'!$G$16:$G$1823,"Свега за пројекат 0701-П1:",'ПО КОРИСНИЦИМА'!$I$16:$I$1823)</f>
        <v>0</v>
      </c>
      <c r="F198" s="280"/>
      <c r="G198" s="249">
        <f>SUMIF('ПО КОРИСНИЦИМА'!$G$16:$G$1823,"Свега за пројекат 0701-П1:",'ПО КОРИСНИЦИМА'!$L$16:$L$1823)</f>
        <v>0</v>
      </c>
      <c r="H198" s="249">
        <f>SUMIF('ПО КОРИСНИЦИМА'!$G$16:$G$1823,"Свега за пројекат 0701-П1:",'ПО КОРИСНИЦИМА'!$M$16:$M$1823)</f>
        <v>0</v>
      </c>
      <c r="I198" s="287" t="e">
        <f>H198/G198</f>
        <v>#DIV/0!</v>
      </c>
      <c r="J198" s="246">
        <f>D198+G198</f>
        <v>633808</v>
      </c>
      <c r="K198" s="246">
        <f>E198+H198</f>
        <v>0</v>
      </c>
      <c r="L198" s="279">
        <f>K198/J198</f>
        <v>0</v>
      </c>
    </row>
    <row r="199" spans="1:12" ht="28.5" customHeight="1" x14ac:dyDescent="0.2">
      <c r="A199" s="182"/>
      <c r="B199" s="185" t="s">
        <v>4372</v>
      </c>
      <c r="C199" s="262" t="str">
        <f>IFERROR(VLOOKUP(B199,'ПО КОРИСНИЦИМА'!$C$16:$S$1823,5,FALSE),"")</f>
        <v>Реконструкција тротоара у улици Светог Саве у Владимирцима</v>
      </c>
      <c r="D199" s="248">
        <f>SUMIF('ПО КОРИСНИЦИМА'!$G$16:$G$1823,"Свега за пројекат 0701-П2:",'ПО КОРИСНИЦИМА'!$H$16:$H$1823)</f>
        <v>179800</v>
      </c>
      <c r="E199" s="248">
        <f>SUMIF('ПО КОРИСНИЦИМА'!$G$16:$G$1823,"Свега за пројекат 0701-П2:",'ПО КОРИСНИЦИМА'!$I$16:$I$1823)</f>
        <v>0</v>
      </c>
      <c r="F199" s="280">
        <f>E199/D199</f>
        <v>0</v>
      </c>
      <c r="G199" s="249">
        <f>SUMIF('ПО КОРИСНИЦИМА'!$G$16:$G$1823,"Свега за пројекат 0701-П2:",'ПО КОРИСНИЦИМА'!$L$16:$L$1823)</f>
        <v>0</v>
      </c>
      <c r="H199" s="249">
        <f>SUMIF('ПО КОРИСНИЦИМА'!$G$16:$G$1823,"Свега за пројекат 0701-П2:",'ПО КОРИСНИЦИМА'!$M$16:$M$1823)</f>
        <v>0</v>
      </c>
      <c r="I199" s="287"/>
      <c r="J199" s="246">
        <f t="shared" si="11"/>
        <v>179800</v>
      </c>
      <c r="K199" s="246">
        <f>E199+H199</f>
        <v>0</v>
      </c>
      <c r="L199" s="279">
        <f>K199/J199</f>
        <v>0</v>
      </c>
    </row>
    <row r="200" spans="1:12" ht="26.25" customHeight="1" x14ac:dyDescent="0.2">
      <c r="A200" s="182"/>
      <c r="B200" s="185" t="s">
        <v>4373</v>
      </c>
      <c r="C200" s="262" t="str">
        <f>IFERROR(VLOOKUP(B200,'ПО КОРИСНИЦИМА'!$C$16:$S$1823,5,FALSE),"")</f>
        <v>Асфалтирање дела локалног пута Л-21 Камена Ћуприја - Вукошић</v>
      </c>
      <c r="D200" s="248">
        <f>SUMIF('ПО КОРИСНИЦИМА'!$G$16:$G$1823,"Свега за пројекат 0701-П3:",'ПО КОРИСНИЦИМА'!$H$16:$H$1823)</f>
        <v>2772902</v>
      </c>
      <c r="E200" s="248">
        <f>SUMIF('ПО КОРИСНИЦИМА'!$G$16:$G$1823,"Свега за пројекат 0701-П3:",'ПО КОРИСНИЦИМА'!$I$16:$I$1823)</f>
        <v>126615.97</v>
      </c>
      <c r="F200" s="280">
        <f>E200/D200</f>
        <v>4.5661898617405161E-2</v>
      </c>
      <c r="G200" s="249">
        <f>SUMIF('ПО КОРИСНИЦИМА'!$G$16:$G$1823,"Свега за пројекат 0701-П3:",'ПО КОРИСНИЦИМА'!$L$16:$L$1823)</f>
        <v>0</v>
      </c>
      <c r="H200" s="249">
        <f>SUMIF('ПО КОРИСНИЦИМА'!$G$16:$G$1823,"Свега за пројекат 0701-П3:",'ПО КОРИСНИЦИМА'!$M$16:$M$1823)</f>
        <v>0</v>
      </c>
      <c r="I200" s="287"/>
      <c r="J200" s="246">
        <f>D200+G200</f>
        <v>2772902</v>
      </c>
      <c r="K200" s="246"/>
      <c r="L200" s="279"/>
    </row>
    <row r="201" spans="1:12" ht="25.5" x14ac:dyDescent="0.2">
      <c r="A201" s="182"/>
      <c r="B201" s="185" t="s">
        <v>4374</v>
      </c>
      <c r="C201" s="262" t="str">
        <f>IFERROR(VLOOKUP(B201,'ПО КОРИСНИЦИМА'!$C$16:$S$1823,5,FALSE),"")</f>
        <v>Асфалтирање дела локалног пута Л-9  Вукошић према Заблаћу</v>
      </c>
      <c r="D201" s="248">
        <f>SUMIF('ПО КОРИСНИЦИМА'!$G$16:$G$1823,"Свега за пројекат 0701-П4:",'ПО КОРИСНИЦИМА'!$H$16:$H$1823)</f>
        <v>2772902</v>
      </c>
      <c r="E201" s="248"/>
      <c r="F201" s="280"/>
      <c r="G201" s="249">
        <f>SUMIF('ПО КОРИСНИЦИМА'!$G$16:$G$1823,"Свега за пројекат 0701-П4:",'ПО КОРИСНИЦИМА'!$L$16:$L$1823)</f>
        <v>0</v>
      </c>
      <c r="H201" s="249"/>
      <c r="I201" s="287"/>
      <c r="J201" s="246">
        <f t="shared" si="11"/>
        <v>2772902</v>
      </c>
      <c r="K201" s="246"/>
      <c r="L201" s="279"/>
    </row>
    <row r="202" spans="1:12" ht="37.5" customHeight="1" x14ac:dyDescent="0.2">
      <c r="A202" s="182"/>
      <c r="B202" s="185" t="s">
        <v>4375</v>
      </c>
      <c r="C202" s="262" t="str">
        <f>IFERROR(VLOOKUP(B202,'ПО КОРИСНИЦИМА'!$C$16:$S$1823,5,FALSE),"")</f>
        <v>Асфалтирање дела локалног пута Л-25  Владимирци Миљковци - Крнуле школа</v>
      </c>
      <c r="D202" s="248">
        <f>SUMIF('ПО КОРИСНИЦИМА'!$G$16:$G$1823,"Свега за пројекат 0701-П5:",'ПО КОРИСНИЦИМА'!$H$16:$H$1823)</f>
        <v>0</v>
      </c>
      <c r="E202" s="248"/>
      <c r="F202" s="280"/>
      <c r="G202" s="249">
        <f>SUMIF('ПО КОРИСНИЦИМА'!$G$16:$G$1823,"Свега за пројекат 0701-П5:",'ПО КОРИСНИЦИМА'!$L$16:$L$1823)</f>
        <v>2529792</v>
      </c>
      <c r="H202" s="249"/>
      <c r="I202" s="287"/>
      <c r="J202" s="246">
        <f t="shared" si="11"/>
        <v>2529792</v>
      </c>
      <c r="K202" s="246"/>
      <c r="L202" s="279"/>
    </row>
    <row r="203" spans="1:12" ht="27.75" customHeight="1" x14ac:dyDescent="0.2">
      <c r="A203" s="182"/>
      <c r="B203" s="185" t="s">
        <v>4376</v>
      </c>
      <c r="C203" s="262" t="str">
        <f>IFERROR(VLOOKUP(B203,'ПО КОРИСНИЦИМА'!$C$16:$S$1823,5,FALSE),"")</f>
        <v>Асфалтирање дела локалног пута Л-43 Јаловик - Гомилица</v>
      </c>
      <c r="D203" s="248">
        <f>SUMIF('ПО КОРИСНИЦИМА'!$G$16:$G$1823,"Свега за пројекат 0701-П6:",'ПО КОРИСНИЦИМА'!$H$16:$H$1823)</f>
        <v>3327481</v>
      </c>
      <c r="E203" s="248"/>
      <c r="F203" s="280"/>
      <c r="G203" s="249">
        <f>SUMIF('ПО КОРИСНИЦИМА'!$G$16:$G$1823,"Свега за пројекат 0701-П6:",'ПО КОРИСНИЦИМА'!$L$16:$L$1823)</f>
        <v>0</v>
      </c>
      <c r="H203" s="249"/>
      <c r="I203" s="287"/>
      <c r="J203" s="246">
        <f t="shared" si="11"/>
        <v>3327481</v>
      </c>
      <c r="K203" s="246"/>
      <c r="L203" s="279"/>
    </row>
    <row r="204" spans="1:12" ht="26.25" customHeight="1" x14ac:dyDescent="0.2">
      <c r="A204" s="182"/>
      <c r="B204" s="185" t="s">
        <v>4377</v>
      </c>
      <c r="C204" s="262" t="str">
        <f>IFERROR(VLOOKUP(B204,'ПО КОРИСНИЦИМА'!$C$16:$S$1823,5,FALSE),"")</f>
        <v>Реконструкција ћуприје на локалном путу       Л-35 Риђаке - Скупљен</v>
      </c>
      <c r="D204" s="248">
        <f>SUMIF('ПО КОРИСНИЦИМА'!$G$16:$G$1823,"Свега за пројекат 0701-П7:",'ПО КОРИСНИЦИМА'!$H$16:$H$1823)</f>
        <v>0</v>
      </c>
      <c r="E204" s="248"/>
      <c r="F204" s="280"/>
      <c r="G204" s="249">
        <f>SUMIF('ПО КОРИСНИЦИМА'!$G$16:$G$1823,"Свега за пројекат 0701-П7:",'ПО КОРИСНИЦИМА'!$L$16:$L$1823)</f>
        <v>0</v>
      </c>
      <c r="H204" s="249"/>
      <c r="I204" s="287"/>
      <c r="J204" s="246">
        <f t="shared" si="11"/>
        <v>0</v>
      </c>
      <c r="K204" s="246"/>
      <c r="L204" s="279"/>
    </row>
    <row r="205" spans="1:12" ht="38.25" customHeight="1" x14ac:dyDescent="0.2">
      <c r="A205" s="182"/>
      <c r="B205" s="185" t="s">
        <v>4378</v>
      </c>
      <c r="C205" s="262" t="str">
        <f>IFERROR(VLOOKUP(B205,'ПО КОРИСНИЦИМА'!$C$16:$S$1823,5,FALSE),"")</f>
        <v>Асфалтирање пута Л-41 Звезд - Прово (Суваја - Рашковија - Мостиња - Камичак)</v>
      </c>
      <c r="D205" s="248">
        <f>SUMIF('ПО КОРИСНИЦИМА'!$G$16:$G$1823,"Свега за пројекат 0701-П8:",'ПО КОРИСНИЦИМА'!$H$16:$H$1823)</f>
        <v>0</v>
      </c>
      <c r="E205" s="248"/>
      <c r="F205" s="280"/>
      <c r="G205" s="249">
        <f>SUMIF('ПО КОРИСНИЦИМА'!$G$16:$G$1823,"Свега за пројекат 0701-П8:",'ПО КОРИСНИЦИМА'!$L$16:$L$1823)</f>
        <v>5000000</v>
      </c>
      <c r="H205" s="249"/>
      <c r="I205" s="287"/>
      <c r="J205" s="246">
        <f t="shared" si="11"/>
        <v>5000000</v>
      </c>
      <c r="K205" s="246"/>
      <c r="L205" s="279"/>
    </row>
    <row r="206" spans="1:12" ht="25.5" customHeight="1" x14ac:dyDescent="0.2">
      <c r="A206" s="182"/>
      <c r="B206" s="185" t="s">
        <v>4379</v>
      </c>
      <c r="C206" s="262" t="str">
        <f>IFERROR(VLOOKUP(B206,'ПО КОРИСНИЦИМА'!$C$16:$S$1823,5,FALSE),"")</f>
        <v>Асфалтирање пута Л-38 Меховине - Риђаке (кроз Гашиће)</v>
      </c>
      <c r="D206" s="248">
        <f>SUMIF('ПО КОРИСНИЦИМА'!$G$16:$G$1823,"Свега за пројекат 0701-П9:",'ПО КОРИСНИЦИМА'!$H$16:$H$1823)</f>
        <v>0</v>
      </c>
      <c r="E206" s="248"/>
      <c r="F206" s="280"/>
      <c r="G206" s="249">
        <f>SUMIF('ПО КОРИСНИЦИМА'!$G$16:$G$1823,"Свега за пројекат 0701-П9:",'ПО КОРИСНИЦИМА'!$L$16:$L$1823)</f>
        <v>5000000</v>
      </c>
      <c r="H206" s="249"/>
      <c r="I206" s="287"/>
      <c r="J206" s="246">
        <f t="shared" si="11"/>
        <v>5000000</v>
      </c>
      <c r="K206" s="246"/>
      <c r="L206" s="279"/>
    </row>
    <row r="207" spans="1:12" ht="28.5" customHeight="1" x14ac:dyDescent="0.2">
      <c r="A207" s="182"/>
      <c r="B207" s="185" t="s">
        <v>4380</v>
      </c>
      <c r="C207" s="610" t="str">
        <f>IFERROR(VLOOKUP(B207,'ПО КОРИСНИЦИМА'!$C$16:$S$1823,5,FALSE),"")</f>
        <v>Асфалтирање дела локалног пута Л-15 Власаница-Петковац-Крнић (пут О2)</v>
      </c>
      <c r="D207" s="248">
        <f>SUMIF('ПО КОРИСНИЦИМА'!$G$16:$G$1823,"Свега за пројекат 0701-П10:",'ПО КОРИСНИЦИМА'!$H$16:$H$1823)</f>
        <v>2772902</v>
      </c>
      <c r="E207" s="248"/>
      <c r="F207" s="280"/>
      <c r="G207" s="249">
        <f>SUMIF('ПО КОРИСНИЦИМА'!$G$16:$G$1823,"Свега за пројекат 0701-П10:",'ПО КОРИСНИЦИМА'!$L$16:$L$1823)</f>
        <v>0</v>
      </c>
      <c r="H207" s="249"/>
      <c r="I207" s="287"/>
      <c r="J207" s="246">
        <f t="shared" si="11"/>
        <v>2772902</v>
      </c>
      <c r="K207" s="246"/>
      <c r="L207" s="279"/>
    </row>
    <row r="208" spans="1:12" ht="37.5" customHeight="1" x14ac:dyDescent="0.2">
      <c r="A208" s="182"/>
      <c r="B208" s="185" t="s">
        <v>4381</v>
      </c>
      <c r="C208" s="262" t="str">
        <f>IFERROR(VLOOKUP(B208,'ПО КОРИСНИЦИМА'!$C$16:$S$1823,5,FALSE),"")</f>
        <v>Асфалтирање улице према улици Византијској у Варошици Владимирци</v>
      </c>
      <c r="D208" s="248">
        <f>SUMIF('ПО КОРИСНИЦИМА'!$G$16:$G$1823,"Свега за пројекат 0701-П11:",'ПО КОРИСНИЦИМА'!$H$16:$H$1823)</f>
        <v>475353</v>
      </c>
      <c r="E208" s="248"/>
      <c r="F208" s="280"/>
      <c r="G208" s="249">
        <f>SUMIF('ПО КОРИСНИЦИМА'!$G$16:$G$1823,"Свега за пројекат 0701-П11:",'ПО КОРИСНИЦИМА'!$L$16:$L$1823)</f>
        <v>0</v>
      </c>
      <c r="H208" s="249"/>
      <c r="I208" s="287"/>
      <c r="J208" s="246">
        <f t="shared" si="11"/>
        <v>475353</v>
      </c>
      <c r="K208" s="246"/>
      <c r="L208" s="279"/>
    </row>
    <row r="209" spans="1:12" hidden="1" x14ac:dyDescent="0.2">
      <c r="A209" s="182"/>
      <c r="B209" s="182" t="s">
        <v>4382</v>
      </c>
      <c r="C209" s="262" t="str">
        <f>IFERROR(VLOOKUP(B209,'ПО КОРИСНИЦИМА'!$C$16:$S$1823,5,FALSE),"")</f>
        <v/>
      </c>
      <c r="D209" s="248">
        <f>SUMIF('ПО КОРИСНИЦИМА'!$G$16:$G$1823,"Свега за пројекат 0701-П12:",'ПО КОРИСНИЦИМА'!$H$16:$H$1823)</f>
        <v>0</v>
      </c>
      <c r="E209" s="248"/>
      <c r="F209" s="280"/>
      <c r="G209" s="249">
        <f>SUMIF('ПО КОРИСНИЦИМА'!$G$16:$G$1823,"Свега за пројекат 0701-П12:",'ПО КОРИСНИЦИМА'!$L$16:$L$1823)</f>
        <v>0</v>
      </c>
      <c r="H209" s="249"/>
      <c r="I209" s="287"/>
      <c r="J209" s="246">
        <f t="shared" si="11"/>
        <v>0</v>
      </c>
      <c r="K209" s="246"/>
      <c r="L209" s="279"/>
    </row>
    <row r="210" spans="1:12" hidden="1" x14ac:dyDescent="0.2">
      <c r="A210" s="182"/>
      <c r="B210" s="182" t="s">
        <v>4383</v>
      </c>
      <c r="C210" s="262" t="str">
        <f>IFERROR(VLOOKUP(B210,'ПО КОРИСНИЦИМА'!$C$16:$S$1823,5,FALSE),"")</f>
        <v/>
      </c>
      <c r="D210" s="248">
        <f>SUMIF('ПО КОРИСНИЦИМА'!$G$16:$G$1823,"Свега за пројекат 0701-П13:",'ПО КОРИСНИЦИМА'!$H$16:$H$1823)</f>
        <v>0</v>
      </c>
      <c r="E210" s="248"/>
      <c r="F210" s="280"/>
      <c r="G210" s="249">
        <f>SUMIF('ПО КОРИСНИЦИМА'!$G$16:$G$1823,"Свега за пројекат 0701-П13:",'ПО КОРИСНИЦИМА'!$L$16:$L$1823)</f>
        <v>0</v>
      </c>
      <c r="H210" s="249"/>
      <c r="I210" s="287"/>
      <c r="J210" s="246">
        <f t="shared" si="11"/>
        <v>0</v>
      </c>
      <c r="K210" s="246"/>
      <c r="L210" s="279"/>
    </row>
    <row r="211" spans="1:12" hidden="1" x14ac:dyDescent="0.2">
      <c r="A211" s="182"/>
      <c r="B211" s="182" t="s">
        <v>4384</v>
      </c>
      <c r="C211" s="262" t="str">
        <f>IFERROR(VLOOKUP(B211,'ПО КОРИСНИЦИМА'!$C$16:$S$1823,5,FALSE),"")</f>
        <v/>
      </c>
      <c r="D211" s="248">
        <f>SUMIF('ПО КОРИСНИЦИМА'!$G$16:$G$1823,"Свега за пројекат 0701-П14:",'ПО КОРИСНИЦИМА'!$H$16:$H$1823)</f>
        <v>0</v>
      </c>
      <c r="E211" s="248"/>
      <c r="F211" s="280"/>
      <c r="G211" s="249">
        <f>SUMIF('ПО КОРИСНИЦИМА'!$G$16:$G$1823,"Свега за пројекат 0701-П14:",'ПО КОРИСНИЦИМА'!$L$16:$L$1823)</f>
        <v>0</v>
      </c>
      <c r="H211" s="249"/>
      <c r="I211" s="287"/>
      <c r="J211" s="246">
        <f t="shared" si="11"/>
        <v>0</v>
      </c>
      <c r="K211" s="246"/>
      <c r="L211" s="279"/>
    </row>
    <row r="212" spans="1:12" hidden="1" x14ac:dyDescent="0.2">
      <c r="A212" s="182"/>
      <c r="B212" s="182" t="s">
        <v>4385</v>
      </c>
      <c r="C212" s="262" t="str">
        <f>IFERROR(VLOOKUP(B212,'ПО КОРИСНИЦИМА'!$C$16:$S$1823,5,FALSE),"")</f>
        <v/>
      </c>
      <c r="D212" s="248">
        <f>SUMIF('ПО КОРИСНИЦИМА'!$G$16:$G$1823,"Свега за пројекат 0701-П15:",'ПО КОРИСНИЦИМА'!$H$16:$H$1823)</f>
        <v>0</v>
      </c>
      <c r="E212" s="248"/>
      <c r="F212" s="280"/>
      <c r="G212" s="249">
        <f>SUMIF('ПО КОРИСНИЦИМА'!$G$16:$G$1823,"Свега за пројекат 0701-П15:",'ПО КОРИСНИЦИМА'!$L$16:$L$1823)</f>
        <v>0</v>
      </c>
      <c r="H212" s="249"/>
      <c r="I212" s="287"/>
      <c r="J212" s="246">
        <f t="shared" si="11"/>
        <v>0</v>
      </c>
      <c r="K212" s="246"/>
      <c r="L212" s="279"/>
    </row>
    <row r="213" spans="1:12" hidden="1" x14ac:dyDescent="0.2">
      <c r="A213" s="182"/>
      <c r="B213" s="182" t="s">
        <v>4386</v>
      </c>
      <c r="C213" s="262" t="str">
        <f>IFERROR(VLOOKUP(B213,'ПО КОРИСНИЦИМА'!$C$16:$S$1823,5,FALSE),"")</f>
        <v/>
      </c>
      <c r="D213" s="248">
        <f>SUMIF('ПО КОРИСНИЦИМА'!$G$16:$G$1823,"Свега за пројекат 0701-П16:",'ПО КОРИСНИЦИМА'!$H$16:$H$1823)</f>
        <v>0</v>
      </c>
      <c r="E213" s="248"/>
      <c r="F213" s="280"/>
      <c r="G213" s="249">
        <f>SUMIF('ПО КОРИСНИЦИМА'!$G$16:$G$1823,"Свега за пројекат 0701-П16:",'ПО КОРИСНИЦИМА'!$L$16:$L$1823)</f>
        <v>0</v>
      </c>
      <c r="H213" s="249"/>
      <c r="I213" s="287"/>
      <c r="J213" s="246">
        <f t="shared" si="11"/>
        <v>0</v>
      </c>
      <c r="K213" s="246"/>
      <c r="L213" s="279"/>
    </row>
    <row r="214" spans="1:12" hidden="1" x14ac:dyDescent="0.2">
      <c r="A214" s="182"/>
      <c r="B214" s="182" t="s">
        <v>4387</v>
      </c>
      <c r="C214" s="262" t="str">
        <f>IFERROR(VLOOKUP(B214,'ПО КОРИСНИЦИМА'!$C$16:$S$1823,5,FALSE),"")</f>
        <v/>
      </c>
      <c r="D214" s="248">
        <f>SUMIF('ПО КОРИСНИЦИМА'!$G$16:$G$1823,"Свега за пројекат 0701-П17:",'ПО КОРИСНИЦИМА'!$H$16:$H$1823)</f>
        <v>0</v>
      </c>
      <c r="E214" s="248"/>
      <c r="F214" s="280"/>
      <c r="G214" s="249">
        <f>SUMIF('ПО КОРИСНИЦИМА'!$G$16:$G$1823,"Свега за пројекат 0701-П17:",'ПО КОРИСНИЦИМА'!$L$16:$L$1823)</f>
        <v>0</v>
      </c>
      <c r="H214" s="249"/>
      <c r="I214" s="287"/>
      <c r="J214" s="246">
        <f t="shared" si="11"/>
        <v>0</v>
      </c>
      <c r="K214" s="246"/>
      <c r="L214" s="279"/>
    </row>
    <row r="215" spans="1:12" hidden="1" x14ac:dyDescent="0.2">
      <c r="A215" s="182"/>
      <c r="B215" s="182" t="s">
        <v>4388</v>
      </c>
      <c r="C215" s="262" t="str">
        <f>IFERROR(VLOOKUP(B215,'ПО КОРИСНИЦИМА'!$C$16:$S$1823,5,FALSE),"")</f>
        <v/>
      </c>
      <c r="D215" s="248">
        <f>SUMIF('ПО КОРИСНИЦИМА'!$G$16:$G$1823,"Свега за пројекат 0701-П18:",'ПО КОРИСНИЦИМА'!$H$16:$H$1823)</f>
        <v>0</v>
      </c>
      <c r="E215" s="248"/>
      <c r="F215" s="280"/>
      <c r="G215" s="249">
        <f>SUMIF('ПО КОРИСНИЦИМА'!$G$16:$G$1823,"Свега за пројекат 0701-П18:",'ПО КОРИСНИЦИМА'!$L$16:$L$1823)</f>
        <v>0</v>
      </c>
      <c r="H215" s="249"/>
      <c r="I215" s="287"/>
      <c r="J215" s="246">
        <f t="shared" si="11"/>
        <v>0</v>
      </c>
      <c r="K215" s="246"/>
      <c r="L215" s="279"/>
    </row>
    <row r="216" spans="1:12" hidden="1" x14ac:dyDescent="0.2">
      <c r="A216" s="182"/>
      <c r="B216" s="182" t="s">
        <v>4389</v>
      </c>
      <c r="C216" s="262" t="str">
        <f>IFERROR(VLOOKUP(B216,'ПО КОРИСНИЦИМА'!$C$16:$S$1823,5,FALSE),"")</f>
        <v/>
      </c>
      <c r="D216" s="248">
        <f>SUMIF('ПО КОРИСНИЦИМА'!$G$16:$G$1823,"Свега за пројекат 0701-П19:",'ПО КОРИСНИЦИМА'!$H$16:$H$1823)</f>
        <v>0</v>
      </c>
      <c r="E216" s="248"/>
      <c r="F216" s="280"/>
      <c r="G216" s="249">
        <f>SUMIF('ПО КОРИСНИЦИМА'!$G$16:$G$1823,"Свега за пројекат 0701-П19:",'ПО КОРИСНИЦИМА'!$L$16:$L$1823)</f>
        <v>0</v>
      </c>
      <c r="H216" s="249"/>
      <c r="I216" s="287"/>
      <c r="J216" s="246">
        <f t="shared" si="11"/>
        <v>0</v>
      </c>
      <c r="K216" s="246"/>
      <c r="L216" s="279"/>
    </row>
    <row r="217" spans="1:12" hidden="1" x14ac:dyDescent="0.2">
      <c r="A217" s="182"/>
      <c r="B217" s="182" t="s">
        <v>4390</v>
      </c>
      <c r="C217" s="262" t="str">
        <f>IFERROR(VLOOKUP(B217,'ПО КОРИСНИЦИМА'!$C$16:$S$1823,5,FALSE),"")</f>
        <v/>
      </c>
      <c r="D217" s="248">
        <f>SUMIF('ПО КОРИСНИЦИМА'!$G$16:$G$1823,"Свега за пројекат 0701-П20:",'ПО КОРИСНИЦИМА'!$H$16:$H$1823)</f>
        <v>0</v>
      </c>
      <c r="E217" s="248"/>
      <c r="F217" s="280"/>
      <c r="G217" s="249">
        <f>SUMIF('ПО КОРИСНИЦИМА'!$G$16:$G$1823,"Свега за пројекат 0701-П20:",'ПО КОРИСНИЦИМА'!$L$16:$L$1823)</f>
        <v>0</v>
      </c>
      <c r="H217" s="249"/>
      <c r="I217" s="287"/>
      <c r="J217" s="246">
        <f t="shared" si="11"/>
        <v>0</v>
      </c>
      <c r="K217" s="246"/>
      <c r="L217" s="279"/>
    </row>
    <row r="218" spans="1:12" hidden="1" x14ac:dyDescent="0.2">
      <c r="A218" s="182"/>
      <c r="B218" s="182" t="s">
        <v>4391</v>
      </c>
      <c r="C218" s="262" t="str">
        <f>IFERROR(VLOOKUP(B218,'ПО КОРИСНИЦИМА'!$C$16:$S$1823,5,FALSE),"")</f>
        <v/>
      </c>
      <c r="D218" s="248">
        <f>SUMIF('ПО КОРИСНИЦИМА'!$G$16:$G$1823,"Свега за пројекат 0701-П21:",'ПО КОРИСНИЦИМА'!$H$16:$H$1823)</f>
        <v>0</v>
      </c>
      <c r="E218" s="248"/>
      <c r="F218" s="280"/>
      <c r="G218" s="249">
        <f>SUMIF('ПО КОРИСНИЦИМА'!$G$16:$G$1823,"Свега за пројекат 0701-П21:",'ПО КОРИСНИЦИМА'!$L$16:$L$1823)</f>
        <v>0</v>
      </c>
      <c r="H218" s="249"/>
      <c r="I218" s="287"/>
      <c r="J218" s="246">
        <f t="shared" si="11"/>
        <v>0</v>
      </c>
      <c r="K218" s="246"/>
      <c r="L218" s="279"/>
    </row>
    <row r="219" spans="1:12" hidden="1" x14ac:dyDescent="0.2">
      <c r="A219" s="182"/>
      <c r="B219" s="182" t="s">
        <v>4392</v>
      </c>
      <c r="C219" s="262" t="str">
        <f>IFERROR(VLOOKUP(B219,'ПО КОРИСНИЦИМА'!$C$16:$S$1823,5,FALSE),"")</f>
        <v/>
      </c>
      <c r="D219" s="248">
        <f>SUMIF('ПО КОРИСНИЦИМА'!$G$16:$G$1823,"Свега за пројекат 0701-П22:",'ПО КОРИСНИЦИМА'!$H$16:$H$1823)</f>
        <v>0</v>
      </c>
      <c r="E219" s="248"/>
      <c r="F219" s="280"/>
      <c r="G219" s="249">
        <f>SUMIF('ПО КОРИСНИЦИМА'!$G$16:$G$1823,"Свега за пројекат 0701-П22:",'ПО КОРИСНИЦИМА'!$L$16:$L$1823)</f>
        <v>0</v>
      </c>
      <c r="H219" s="249"/>
      <c r="I219" s="287"/>
      <c r="J219" s="246">
        <f t="shared" si="11"/>
        <v>0</v>
      </c>
      <c r="K219" s="246"/>
      <c r="L219" s="279"/>
    </row>
    <row r="220" spans="1:12" hidden="1" x14ac:dyDescent="0.2">
      <c r="A220" s="182"/>
      <c r="B220" s="182" t="s">
        <v>4393</v>
      </c>
      <c r="C220" s="262" t="str">
        <f>IFERROR(VLOOKUP(B220,'ПО КОРИСНИЦИМА'!$C$16:$S$1823,5,FALSE),"")</f>
        <v/>
      </c>
      <c r="D220" s="248">
        <f>SUMIF('ПО КОРИСНИЦИМА'!$G$16:$G$1823,"Свега за пројекат 0701-П23:",'ПО КОРИСНИЦИМА'!$H$16:$H$1823)</f>
        <v>0</v>
      </c>
      <c r="E220" s="248"/>
      <c r="F220" s="280"/>
      <c r="G220" s="249">
        <f>SUMIF('ПО КОРИСНИЦИМА'!$G$16:$G$1823,"Свега за пројекат 0701-П23:",'ПО КОРИСНИЦИМА'!$L$16:$L$1823)</f>
        <v>0</v>
      </c>
      <c r="H220" s="249"/>
      <c r="I220" s="287"/>
      <c r="J220" s="246">
        <f t="shared" si="11"/>
        <v>0</v>
      </c>
      <c r="K220" s="246"/>
      <c r="L220" s="279"/>
    </row>
    <row r="221" spans="1:12" hidden="1" x14ac:dyDescent="0.2">
      <c r="A221" s="182"/>
      <c r="B221" s="182" t="s">
        <v>4394</v>
      </c>
      <c r="C221" s="262" t="str">
        <f>IFERROR(VLOOKUP(B221,'ПО КОРИСНИЦИМА'!$C$16:$S$1823,5,FALSE),"")</f>
        <v/>
      </c>
      <c r="D221" s="248">
        <f>SUMIF('ПО КОРИСНИЦИМА'!$G$16:$G$1823,"Свега за пројекат 0701-П24:",'ПО КОРИСНИЦИМА'!$H$16:$H$1823)</f>
        <v>0</v>
      </c>
      <c r="E221" s="248"/>
      <c r="F221" s="280"/>
      <c r="G221" s="249">
        <f>SUMIF('ПО КОРИСНИЦИМА'!$G$16:$G$1823,"Свега за пројекат 0701-П24:",'ПО КОРИСНИЦИМА'!$L$16:$L$1823)</f>
        <v>0</v>
      </c>
      <c r="H221" s="249"/>
      <c r="I221" s="287"/>
      <c r="J221" s="246">
        <f t="shared" si="11"/>
        <v>0</v>
      </c>
      <c r="K221" s="246"/>
      <c r="L221" s="279"/>
    </row>
    <row r="222" spans="1:12" hidden="1" x14ac:dyDescent="0.2">
      <c r="A222" s="182"/>
      <c r="B222" s="182" t="s">
        <v>4395</v>
      </c>
      <c r="C222" s="262" t="str">
        <f>IFERROR(VLOOKUP(B222,'ПО КОРИСНИЦИМА'!$C$16:$S$1823,5,FALSE),"")</f>
        <v/>
      </c>
      <c r="D222" s="248">
        <f>SUMIF('ПО КОРИСНИЦИМА'!$G$16:$G$1823,"Свега за пројекат 0701-П25:",'ПО КОРИСНИЦИМА'!$H$16:$H$1823)</f>
        <v>0</v>
      </c>
      <c r="E222" s="248"/>
      <c r="F222" s="280"/>
      <c r="G222" s="249">
        <f>SUMIF('ПО КОРИСНИЦИМА'!$G$16:$G$1823,"Свега за пројекат 0701-П25:",'ПО КОРИСНИЦИМА'!$L$16:$L$1823)</f>
        <v>0</v>
      </c>
      <c r="H222" s="249"/>
      <c r="I222" s="287"/>
      <c r="J222" s="246">
        <f t="shared" si="11"/>
        <v>0</v>
      </c>
      <c r="K222" s="246"/>
      <c r="L222" s="279"/>
    </row>
    <row r="223" spans="1:12" hidden="1" x14ac:dyDescent="0.2">
      <c r="A223" s="182"/>
      <c r="B223" s="182" t="s">
        <v>4396</v>
      </c>
      <c r="C223" s="262" t="str">
        <f>IFERROR(VLOOKUP(B223,'ПО КОРИСНИЦИМА'!$C$16:$S$1823,5,FALSE),"")</f>
        <v/>
      </c>
      <c r="D223" s="248">
        <f>SUMIF('ПО КОРИСНИЦИМА'!$G$16:$G$1823,"Свега за пројекат 0701-П26:",'ПО КОРИСНИЦИМА'!$H$16:$H$1823)</f>
        <v>0</v>
      </c>
      <c r="E223" s="248"/>
      <c r="F223" s="280"/>
      <c r="G223" s="249">
        <f>SUMIF('ПО КОРИСНИЦИМА'!$G$16:$G$1823,"Свега за пројекат 0701-П26:",'ПО КОРИСНИЦИМА'!$L$16:$L$1823)</f>
        <v>0</v>
      </c>
      <c r="H223" s="249"/>
      <c r="I223" s="287"/>
      <c r="J223" s="246">
        <f t="shared" si="11"/>
        <v>0</v>
      </c>
      <c r="K223" s="246"/>
      <c r="L223" s="279"/>
    </row>
    <row r="224" spans="1:12" hidden="1" x14ac:dyDescent="0.2">
      <c r="A224" s="182"/>
      <c r="B224" s="182" t="s">
        <v>4397</v>
      </c>
      <c r="C224" s="262" t="str">
        <f>IFERROR(VLOOKUP(B224,'ПО КОРИСНИЦИМА'!$C$16:$S$1823,5,FALSE),"")</f>
        <v/>
      </c>
      <c r="D224" s="248">
        <f>SUMIF('ПО КОРИСНИЦИМА'!$G$16:$G$1823,"Свега за пројекат 0701-П27:",'ПО КОРИСНИЦИМА'!$H$16:$H$1823)</f>
        <v>0</v>
      </c>
      <c r="E224" s="248"/>
      <c r="F224" s="280"/>
      <c r="G224" s="249">
        <f>SUMIF('ПО КОРИСНИЦИМА'!$G$16:$G$1823,"Свега за пројекат 0701-П27:",'ПО КОРИСНИЦИМА'!$L$16:$L$1823)</f>
        <v>0</v>
      </c>
      <c r="H224" s="249"/>
      <c r="I224" s="287"/>
      <c r="J224" s="246">
        <f t="shared" si="11"/>
        <v>0</v>
      </c>
      <c r="K224" s="246"/>
      <c r="L224" s="279"/>
    </row>
    <row r="225" spans="1:12" hidden="1" x14ac:dyDescent="0.2">
      <c r="A225" s="182"/>
      <c r="B225" s="182" t="s">
        <v>4398</v>
      </c>
      <c r="C225" s="262" t="str">
        <f>IFERROR(VLOOKUP(B225,'ПО КОРИСНИЦИМА'!$C$16:$S$1823,5,FALSE),"")</f>
        <v/>
      </c>
      <c r="D225" s="248">
        <f>SUMIF('ПО КОРИСНИЦИМА'!$G$16:$G$1823,"Свега за пројекат 0701-П28:",'ПО КОРИСНИЦИМА'!$H$16:$H$1823)</f>
        <v>0</v>
      </c>
      <c r="E225" s="248"/>
      <c r="F225" s="280"/>
      <c r="G225" s="249">
        <f>SUMIF('ПО КОРИСНИЦИМА'!$G$16:$G$1823,"Свега за пројекат 0701-П28:",'ПО КОРИСНИЦИМА'!$L$16:$L$1823)</f>
        <v>0</v>
      </c>
      <c r="H225" s="249"/>
      <c r="I225" s="287"/>
      <c r="J225" s="246">
        <f t="shared" si="11"/>
        <v>0</v>
      </c>
      <c r="K225" s="246"/>
      <c r="L225" s="279"/>
    </row>
    <row r="226" spans="1:12" hidden="1" x14ac:dyDescent="0.2">
      <c r="A226" s="182"/>
      <c r="B226" s="182" t="s">
        <v>4399</v>
      </c>
      <c r="C226" s="262" t="str">
        <f>IFERROR(VLOOKUP(B226,'ПО КОРИСНИЦИМА'!$C$16:$S$1823,5,FALSE),"")</f>
        <v/>
      </c>
      <c r="D226" s="248">
        <f>SUMIF('ПО КОРИСНИЦИМА'!$G$16:$G$1823,"Свега за пројекат 0701-П29:",'ПО КОРИСНИЦИМА'!$H$16:$H$1823)</f>
        <v>0</v>
      </c>
      <c r="E226" s="248"/>
      <c r="F226" s="280"/>
      <c r="G226" s="249">
        <f>SUMIF('ПО КОРИСНИЦИМА'!$G$16:$G$1823,"Свега за пројекат 0701-П29:",'ПО КОРИСНИЦИМА'!$L$16:$L$1823)</f>
        <v>0</v>
      </c>
      <c r="H226" s="249"/>
      <c r="I226" s="287"/>
      <c r="J226" s="246">
        <f t="shared" si="11"/>
        <v>0</v>
      </c>
      <c r="K226" s="246"/>
      <c r="L226" s="279"/>
    </row>
    <row r="227" spans="1:12" hidden="1" x14ac:dyDescent="0.2">
      <c r="A227" s="182"/>
      <c r="B227" s="182" t="s">
        <v>4400</v>
      </c>
      <c r="C227" s="262" t="str">
        <f>IFERROR(VLOOKUP(B227,'ПО КОРИСНИЦИМА'!$C$16:$S$1823,5,FALSE),"")</f>
        <v/>
      </c>
      <c r="D227" s="248">
        <f>SUMIF('ПО КОРИСНИЦИМА'!$G$16:$G$1823,"Свега за пројекат 0701-П30:",'ПО КОРИСНИЦИМА'!$H$16:$H$1823)</f>
        <v>0</v>
      </c>
      <c r="E227" s="248"/>
      <c r="F227" s="280"/>
      <c r="G227" s="249">
        <f>SUMIF('ПО КОРИСНИЦИМА'!$G$16:$G$1823,"Свега за пројекат 0701-П30:",'ПО КОРИСНИЦИМА'!$L$16:$L$1823)</f>
        <v>0</v>
      </c>
      <c r="H227" s="249"/>
      <c r="I227" s="287"/>
      <c r="J227" s="246">
        <f t="shared" si="11"/>
        <v>0</v>
      </c>
      <c r="K227" s="246"/>
      <c r="L227" s="279"/>
    </row>
    <row r="228" spans="1:12" hidden="1" x14ac:dyDescent="0.2">
      <c r="A228" s="182"/>
      <c r="B228" s="182" t="s">
        <v>4401</v>
      </c>
      <c r="C228" s="262" t="str">
        <f>IFERROR(VLOOKUP(B228,'ПО КОРИСНИЦИМА'!$C$16:$S$1823,5,FALSE),"")</f>
        <v/>
      </c>
      <c r="D228" s="248">
        <f>SUMIF('ПО КОРИСНИЦИМА'!$G$16:$G$1823,"Свега за пројекат 0701-П31:",'ПО КОРИСНИЦИМА'!$H$16:$H$1823)</f>
        <v>0</v>
      </c>
      <c r="E228" s="248"/>
      <c r="F228" s="280"/>
      <c r="G228" s="249">
        <f>SUMIF('ПО КОРИСНИЦИМА'!$G$16:$G$1823,"Свега за пројекат 0701-П31:",'ПО КОРИСНИЦИМА'!$L$16:$L$1823)</f>
        <v>0</v>
      </c>
      <c r="H228" s="249"/>
      <c r="I228" s="287"/>
      <c r="J228" s="246">
        <f t="shared" si="11"/>
        <v>0</v>
      </c>
      <c r="K228" s="246"/>
      <c r="L228" s="279"/>
    </row>
    <row r="229" spans="1:12" hidden="1" x14ac:dyDescent="0.2">
      <c r="A229" s="182"/>
      <c r="B229" s="182" t="s">
        <v>4402</v>
      </c>
      <c r="C229" s="262" t="str">
        <f>IFERROR(VLOOKUP(B229,'ПО КОРИСНИЦИМА'!$C$16:$S$1823,5,FALSE),"")</f>
        <v/>
      </c>
      <c r="D229" s="248">
        <f>SUMIF('ПО КОРИСНИЦИМА'!$G$16:$G$1823,"Свега за пројекат 0701-П32:",'ПО КОРИСНИЦИМА'!$H$16:$H$1823)</f>
        <v>0</v>
      </c>
      <c r="E229" s="248"/>
      <c r="F229" s="280"/>
      <c r="G229" s="249">
        <f>SUMIF('ПО КОРИСНИЦИМА'!$G$16:$G$1823,"Свега за пројекат 0701-П32:",'ПО КОРИСНИЦИМА'!$L$16:$L$1823)</f>
        <v>0</v>
      </c>
      <c r="H229" s="249"/>
      <c r="I229" s="287"/>
      <c r="J229" s="246">
        <f t="shared" si="11"/>
        <v>0</v>
      </c>
      <c r="K229" s="246"/>
      <c r="L229" s="279"/>
    </row>
    <row r="230" spans="1:12" hidden="1" x14ac:dyDescent="0.2">
      <c r="A230" s="182"/>
      <c r="B230" s="182" t="s">
        <v>4403</v>
      </c>
      <c r="C230" s="262" t="str">
        <f>IFERROR(VLOOKUP(B230,'ПО КОРИСНИЦИМА'!$C$16:$S$1823,5,FALSE),"")</f>
        <v/>
      </c>
      <c r="D230" s="248">
        <f>SUMIF('ПО КОРИСНИЦИМА'!$G$16:$G$1823,"Свега за пројекат 0701-П33:",'ПО КОРИСНИЦИМА'!$H$16:$H$1823)</f>
        <v>0</v>
      </c>
      <c r="E230" s="248"/>
      <c r="F230" s="280"/>
      <c r="G230" s="249">
        <f>SUMIF('ПО КОРИСНИЦИМА'!$G$16:$G$1823,"Свега за пројекат 0701-П33:",'ПО КОРИСНИЦИМА'!$L$16:$L$1823)</f>
        <v>0</v>
      </c>
      <c r="H230" s="249"/>
      <c r="I230" s="287"/>
      <c r="J230" s="246">
        <f t="shared" si="11"/>
        <v>0</v>
      </c>
      <c r="K230" s="246"/>
      <c r="L230" s="279"/>
    </row>
    <row r="231" spans="1:12" hidden="1" x14ac:dyDescent="0.2">
      <c r="A231" s="182"/>
      <c r="B231" s="182" t="s">
        <v>4404</v>
      </c>
      <c r="C231" s="262" t="str">
        <f>IFERROR(VLOOKUP(B231,'ПО КОРИСНИЦИМА'!$C$16:$S$1823,5,FALSE),"")</f>
        <v/>
      </c>
      <c r="D231" s="248">
        <f>SUMIF('ПО КОРИСНИЦИМА'!$G$16:$G$1823,"Свега за пројекат 0701-П34:",'ПО КОРИСНИЦИМА'!$H$16:$H$1823)</f>
        <v>0</v>
      </c>
      <c r="E231" s="248"/>
      <c r="F231" s="280"/>
      <c r="G231" s="249">
        <f>SUMIF('ПО КОРИСНИЦИМА'!$G$16:$G$1823,"Свега за пројекат 0701-П34:",'ПО КОРИСНИЦИМА'!$L$16:$L$1823)</f>
        <v>0</v>
      </c>
      <c r="H231" s="249"/>
      <c r="I231" s="287"/>
      <c r="J231" s="246">
        <f t="shared" si="11"/>
        <v>0</v>
      </c>
      <c r="K231" s="246"/>
      <c r="L231" s="279"/>
    </row>
    <row r="232" spans="1:12" hidden="1" x14ac:dyDescent="0.2">
      <c r="A232" s="182"/>
      <c r="B232" s="182" t="s">
        <v>4405</v>
      </c>
      <c r="C232" s="262" t="str">
        <f>IFERROR(VLOOKUP(B232,'ПО КОРИСНИЦИМА'!$C$16:$S$1823,5,FALSE),"")</f>
        <v/>
      </c>
      <c r="D232" s="248">
        <f>SUMIF('ПО КОРИСНИЦИМА'!$G$16:$G$1823,"Свега за пројекат 0701-П35:",'ПО КОРИСНИЦИМА'!$H$16:$H$1823)</f>
        <v>0</v>
      </c>
      <c r="E232" s="248"/>
      <c r="F232" s="280"/>
      <c r="G232" s="249">
        <f>SUMIF('ПО КОРИСНИЦИМА'!$G$16:$G$1823,"Свега за пројекат 0701-П35:",'ПО КОРИСНИЦИМА'!$L$16:$L$1823)</f>
        <v>0</v>
      </c>
      <c r="H232" s="249"/>
      <c r="I232" s="287"/>
      <c r="J232" s="246">
        <f t="shared" si="11"/>
        <v>0</v>
      </c>
      <c r="K232" s="246"/>
      <c r="L232" s="279"/>
    </row>
    <row r="233" spans="1:12" hidden="1" x14ac:dyDescent="0.2">
      <c r="A233" s="182"/>
      <c r="B233" s="182" t="s">
        <v>4406</v>
      </c>
      <c r="C233" s="262" t="str">
        <f>IFERROR(VLOOKUP(B233,'ПО КОРИСНИЦИМА'!$C$16:$S$1823,5,FALSE),"")</f>
        <v/>
      </c>
      <c r="D233" s="248">
        <f>SUMIF('ПО КОРИСНИЦИМА'!$G$16:$G$1823,"Свега за пројекат 0701-П36:",'ПО КОРИСНИЦИМА'!$H$16:$H$1823)</f>
        <v>0</v>
      </c>
      <c r="E233" s="248"/>
      <c r="F233" s="280"/>
      <c r="G233" s="249">
        <f>SUMIF('ПО КОРИСНИЦИМА'!$G$16:$G$1823,"Свега за пројекат 0701-П36:",'ПО КОРИСНИЦИМА'!$L$16:$L$1823)</f>
        <v>0</v>
      </c>
      <c r="H233" s="249"/>
      <c r="I233" s="287"/>
      <c r="J233" s="246">
        <f t="shared" si="11"/>
        <v>0</v>
      </c>
      <c r="K233" s="246"/>
      <c r="L233" s="279"/>
    </row>
    <row r="234" spans="1:12" hidden="1" x14ac:dyDescent="0.2">
      <c r="A234" s="182"/>
      <c r="B234" s="182" t="s">
        <v>4407</v>
      </c>
      <c r="C234" s="262" t="str">
        <f>IFERROR(VLOOKUP(B234,'ПО КОРИСНИЦИМА'!$C$16:$S$1823,5,FALSE),"")</f>
        <v/>
      </c>
      <c r="D234" s="248">
        <f>SUMIF('ПО КОРИСНИЦИМА'!$G$16:$G$1823,"Свега за пројекат 0701-П37:",'ПО КОРИСНИЦИМА'!$H$16:$H$1823)</f>
        <v>0</v>
      </c>
      <c r="E234" s="248"/>
      <c r="F234" s="280"/>
      <c r="G234" s="249">
        <f>SUMIF('ПО КОРИСНИЦИМА'!$G$16:$G$1823,"Свега за пројекат 0701-П37:",'ПО КОРИСНИЦИМА'!$L$16:$L$1823)</f>
        <v>0</v>
      </c>
      <c r="H234" s="249"/>
      <c r="I234" s="287"/>
      <c r="J234" s="246">
        <f t="shared" si="11"/>
        <v>0</v>
      </c>
      <c r="K234" s="246"/>
      <c r="L234" s="279"/>
    </row>
    <row r="235" spans="1:12" hidden="1" x14ac:dyDescent="0.2">
      <c r="A235" s="182"/>
      <c r="B235" s="182" t="s">
        <v>4408</v>
      </c>
      <c r="C235" s="262" t="str">
        <f>IFERROR(VLOOKUP(B235,'ПО КОРИСНИЦИМА'!$C$16:$S$1823,5,FALSE),"")</f>
        <v/>
      </c>
      <c r="D235" s="248">
        <f>SUMIF('ПО КОРИСНИЦИМА'!$G$16:$G$1823,"Свега за пројекат 0701-П38:",'ПО КОРИСНИЦИМА'!$H$16:$H$1823)</f>
        <v>0</v>
      </c>
      <c r="E235" s="248"/>
      <c r="F235" s="280"/>
      <c r="G235" s="249">
        <f>SUMIF('ПО КОРИСНИЦИМА'!$G$16:$G$1823,"Свега за пројекат 0701-П38:",'ПО КОРИСНИЦИМА'!$L$16:$L$1823)</f>
        <v>0</v>
      </c>
      <c r="H235" s="249"/>
      <c r="I235" s="287"/>
      <c r="J235" s="246">
        <f t="shared" si="11"/>
        <v>0</v>
      </c>
      <c r="K235" s="246"/>
      <c r="L235" s="279"/>
    </row>
    <row r="236" spans="1:12" hidden="1" x14ac:dyDescent="0.2">
      <c r="A236" s="182"/>
      <c r="B236" s="182" t="s">
        <v>4409</v>
      </c>
      <c r="C236" s="262" t="str">
        <f>IFERROR(VLOOKUP(B236,'ПО КОРИСНИЦИМА'!$C$16:$S$1823,5,FALSE),"")</f>
        <v/>
      </c>
      <c r="D236" s="248">
        <f>SUMIF('ПО КОРИСНИЦИМА'!$G$16:$G$1823,"Свега за пројекат 0701-П39:",'ПО КОРИСНИЦИМА'!$H$16:$H$1823)</f>
        <v>0</v>
      </c>
      <c r="E236" s="248"/>
      <c r="F236" s="280"/>
      <c r="G236" s="249">
        <f>SUMIF('ПО КОРИСНИЦИМА'!$G$16:$G$1823,"Свега за пројекат 0701-П39:",'ПО КОРИСНИЦИМА'!$L$16:$L$1823)</f>
        <v>0</v>
      </c>
      <c r="H236" s="249"/>
      <c r="I236" s="287"/>
      <c r="J236" s="246">
        <f t="shared" si="11"/>
        <v>0</v>
      </c>
      <c r="K236" s="246"/>
      <c r="L236" s="279"/>
    </row>
    <row r="237" spans="1:12" hidden="1" x14ac:dyDescent="0.2">
      <c r="A237" s="182"/>
      <c r="B237" s="182" t="s">
        <v>4410</v>
      </c>
      <c r="C237" s="262" t="str">
        <f>IFERROR(VLOOKUP(B237,'ПО КОРИСНИЦИМА'!$C$16:$S$1823,5,FALSE),"")</f>
        <v/>
      </c>
      <c r="D237" s="248">
        <f>SUMIF('ПО КОРИСНИЦИМА'!$G$16:$G$1823,"Свега за пројекат 0701-П40:",'ПО КОРИСНИЦИМА'!$H$16:$H$1823)</f>
        <v>0</v>
      </c>
      <c r="E237" s="248"/>
      <c r="F237" s="280"/>
      <c r="G237" s="249">
        <f>SUMIF('ПО КОРИСНИЦИМА'!$G$16:$G$1823,"Свега за пројекат 0701-П40:",'ПО КОРИСНИЦИМА'!$L$16:$L$1823)</f>
        <v>0</v>
      </c>
      <c r="H237" s="249"/>
      <c r="I237" s="287"/>
      <c r="J237" s="246">
        <f t="shared" si="11"/>
        <v>0</v>
      </c>
      <c r="K237" s="246"/>
      <c r="L237" s="279"/>
    </row>
    <row r="238" spans="1:12" hidden="1" x14ac:dyDescent="0.2">
      <c r="A238" s="182"/>
      <c r="B238" s="182" t="s">
        <v>4411</v>
      </c>
      <c r="C238" s="262" t="str">
        <f>IFERROR(VLOOKUP(B238,'ПО КОРИСНИЦИМА'!$C$16:$S$1823,5,FALSE),"")</f>
        <v/>
      </c>
      <c r="D238" s="248">
        <f>SUMIF('ПО КОРИСНИЦИМА'!$G$16:$G$1823,"Свега за пројекат 0701-П41:",'ПО КОРИСНИЦИМА'!$H$16:$H$1823)</f>
        <v>0</v>
      </c>
      <c r="E238" s="248"/>
      <c r="F238" s="280"/>
      <c r="G238" s="249">
        <f>SUMIF('ПО КОРИСНИЦИМА'!$G$16:$G$1823,"Свега за пројекат 0701-П41:",'ПО КОРИСНИЦИМА'!$L$16:$L$1823)</f>
        <v>0</v>
      </c>
      <c r="H238" s="249"/>
      <c r="I238" s="287"/>
      <c r="J238" s="246">
        <f t="shared" si="11"/>
        <v>0</v>
      </c>
      <c r="K238" s="246"/>
      <c r="L238" s="279"/>
    </row>
    <row r="239" spans="1:12" hidden="1" x14ac:dyDescent="0.2">
      <c r="A239" s="182"/>
      <c r="B239" s="182" t="s">
        <v>4412</v>
      </c>
      <c r="C239" s="262" t="str">
        <f>IFERROR(VLOOKUP(B239,'ПО КОРИСНИЦИМА'!$C$16:$S$1823,5,FALSE),"")</f>
        <v/>
      </c>
      <c r="D239" s="248">
        <f>SUMIF('ПО КОРИСНИЦИМА'!$G$16:$G$1823,"Свега за пројекат 0701-П42:",'ПО КОРИСНИЦИМА'!$H$16:$H$1823)</f>
        <v>0</v>
      </c>
      <c r="E239" s="248"/>
      <c r="F239" s="280"/>
      <c r="G239" s="249">
        <f>SUMIF('ПО КОРИСНИЦИМА'!$G$16:$G$1823,"Свега за пројекат 0701-П42:",'ПО КОРИСНИЦИМА'!$L$16:$L$1823)</f>
        <v>0</v>
      </c>
      <c r="H239" s="249"/>
      <c r="I239" s="287"/>
      <c r="J239" s="246">
        <f t="shared" si="11"/>
        <v>0</v>
      </c>
      <c r="K239" s="246"/>
      <c r="L239" s="279"/>
    </row>
    <row r="240" spans="1:12" hidden="1" x14ac:dyDescent="0.2">
      <c r="A240" s="182"/>
      <c r="B240" s="182" t="s">
        <v>4413</v>
      </c>
      <c r="C240" s="262" t="str">
        <f>IFERROR(VLOOKUP(B240,'ПО КОРИСНИЦИМА'!$C$16:$S$1823,5,FALSE),"")</f>
        <v/>
      </c>
      <c r="D240" s="248">
        <f>SUMIF('ПО КОРИСНИЦИМА'!$G$16:$G$1823,"Свега за пројекат 0701-П43:",'ПО КОРИСНИЦИМА'!$H$16:$H$1823)</f>
        <v>0</v>
      </c>
      <c r="E240" s="248"/>
      <c r="F240" s="280"/>
      <c r="G240" s="249">
        <f>SUMIF('ПО КОРИСНИЦИМА'!$G$16:$G$1823,"Свега за пројекат 0701-П43:",'ПО КОРИСНИЦИМА'!$L$16:$L$1823)</f>
        <v>0</v>
      </c>
      <c r="H240" s="249"/>
      <c r="I240" s="287"/>
      <c r="J240" s="246">
        <f t="shared" si="11"/>
        <v>0</v>
      </c>
      <c r="K240" s="246"/>
      <c r="L240" s="279"/>
    </row>
    <row r="241" spans="1:12" hidden="1" x14ac:dyDescent="0.2">
      <c r="A241" s="182"/>
      <c r="B241" s="182" t="s">
        <v>4414</v>
      </c>
      <c r="C241" s="262" t="str">
        <f>IFERROR(VLOOKUP(B241,'ПО КОРИСНИЦИМА'!$C$16:$S$1823,5,FALSE),"")</f>
        <v/>
      </c>
      <c r="D241" s="248">
        <f>SUMIF('ПО КОРИСНИЦИМА'!$G$16:$G$1823,"Свега за пројекат 0701-П44:",'ПО КОРИСНИЦИМА'!$H$16:$H$1823)</f>
        <v>0</v>
      </c>
      <c r="E241" s="248"/>
      <c r="F241" s="280"/>
      <c r="G241" s="249">
        <f>SUMIF('ПО КОРИСНИЦИМА'!$G$16:$G$1823,"Свега за пројекат 0701-П44:",'ПО КОРИСНИЦИМА'!$L$16:$L$1823)</f>
        <v>0</v>
      </c>
      <c r="H241" s="249"/>
      <c r="I241" s="287"/>
      <c r="J241" s="246">
        <f t="shared" si="11"/>
        <v>0</v>
      </c>
      <c r="K241" s="246"/>
      <c r="L241" s="279"/>
    </row>
    <row r="242" spans="1:12" hidden="1" x14ac:dyDescent="0.2">
      <c r="A242" s="182"/>
      <c r="B242" s="182" t="s">
        <v>4415</v>
      </c>
      <c r="C242" s="262" t="str">
        <f>IFERROR(VLOOKUP(B242,'ПО КОРИСНИЦИМА'!$C$16:$S$1823,5,FALSE),"")</f>
        <v/>
      </c>
      <c r="D242" s="248">
        <f>SUMIF('ПО КОРИСНИЦИМА'!$G$16:$G$1823,"Свега за пројекат 0701-П45:",'ПО КОРИСНИЦИМА'!$H$16:$H$1823)</f>
        <v>0</v>
      </c>
      <c r="E242" s="248"/>
      <c r="F242" s="280"/>
      <c r="G242" s="249">
        <f>SUMIF('ПО КОРИСНИЦИМА'!$G$16:$G$1823,"Свега за пројекат 0701-П45:",'ПО КОРИСНИЦИМА'!$L$16:$L$1823)</f>
        <v>0</v>
      </c>
      <c r="H242" s="249"/>
      <c r="I242" s="287"/>
      <c r="J242" s="246">
        <f t="shared" si="11"/>
        <v>0</v>
      </c>
      <c r="K242" s="246"/>
      <c r="L242" s="279"/>
    </row>
    <row r="243" spans="1:12" hidden="1" x14ac:dyDescent="0.2">
      <c r="A243" s="182"/>
      <c r="B243" s="182" t="s">
        <v>4416</v>
      </c>
      <c r="C243" s="262" t="str">
        <f>IFERROR(VLOOKUP(B243,'ПО КОРИСНИЦИМА'!$C$16:$S$1823,5,FALSE),"")</f>
        <v/>
      </c>
      <c r="D243" s="248">
        <f>SUMIF('ПО КОРИСНИЦИМА'!$G$16:$G$1823,"Свега за пројекат 0701-П46:",'ПО КОРИСНИЦИМА'!$H$16:$H$1823)</f>
        <v>0</v>
      </c>
      <c r="E243" s="248"/>
      <c r="F243" s="280"/>
      <c r="G243" s="249">
        <f>SUMIF('ПО КОРИСНИЦИМА'!$G$16:$G$1823,"Свега за пројекат 0701-П46:",'ПО КОРИСНИЦИМА'!$L$16:$L$1823)</f>
        <v>0</v>
      </c>
      <c r="H243" s="249"/>
      <c r="I243" s="287"/>
      <c r="J243" s="246">
        <f t="shared" si="11"/>
        <v>0</v>
      </c>
      <c r="K243" s="246"/>
      <c r="L243" s="279"/>
    </row>
    <row r="244" spans="1:12" hidden="1" x14ac:dyDescent="0.2">
      <c r="A244" s="182"/>
      <c r="B244" s="182" t="s">
        <v>4417</v>
      </c>
      <c r="C244" s="262" t="str">
        <f>IFERROR(VLOOKUP(B244,'ПО КОРИСНИЦИМА'!$C$16:$S$1823,5,FALSE),"")</f>
        <v/>
      </c>
      <c r="D244" s="248">
        <f>SUMIF('ПО КОРИСНИЦИМА'!$G$16:$G$1823,"Свега за пројекат 0701-П47:",'ПО КОРИСНИЦИМА'!$H$16:$H$1823)</f>
        <v>0</v>
      </c>
      <c r="E244" s="248"/>
      <c r="F244" s="280"/>
      <c r="G244" s="249">
        <f>SUMIF('ПО КОРИСНИЦИМА'!$G$16:$G$1823,"Свега за пројекат 0701-П47:",'ПО КОРИСНИЦИМА'!$L$16:$L$1823)</f>
        <v>0</v>
      </c>
      <c r="H244" s="249"/>
      <c r="I244" s="287"/>
      <c r="J244" s="246">
        <f t="shared" si="11"/>
        <v>0</v>
      </c>
      <c r="K244" s="246"/>
      <c r="L244" s="279"/>
    </row>
    <row r="245" spans="1:12" hidden="1" x14ac:dyDescent="0.2">
      <c r="A245" s="182"/>
      <c r="B245" s="182" t="s">
        <v>4418</v>
      </c>
      <c r="C245" s="262" t="str">
        <f>IFERROR(VLOOKUP(B245,'ПО КОРИСНИЦИМА'!$C$16:$S$1823,5,FALSE),"")</f>
        <v/>
      </c>
      <c r="D245" s="248">
        <f>SUMIF('ПО КОРИСНИЦИМА'!$G$16:$G$1823,"Свега за пројекат 0701-П48:",'ПО КОРИСНИЦИМА'!$H$16:$H$1823)</f>
        <v>0</v>
      </c>
      <c r="E245" s="248"/>
      <c r="F245" s="280"/>
      <c r="G245" s="249">
        <f>SUMIF('ПО КОРИСНИЦИМА'!$G$16:$G$1823,"Свега за пројекат 0701-П48:",'ПО КОРИСНИЦИМА'!$L$16:$L$1823)</f>
        <v>0</v>
      </c>
      <c r="H245" s="249"/>
      <c r="I245" s="287"/>
      <c r="J245" s="246">
        <f t="shared" si="11"/>
        <v>0</v>
      </c>
      <c r="K245" s="246"/>
      <c r="L245" s="279"/>
    </row>
    <row r="246" spans="1:12" hidden="1" x14ac:dyDescent="0.2">
      <c r="A246" s="182"/>
      <c r="B246" s="182" t="s">
        <v>4419</v>
      </c>
      <c r="C246" s="262" t="str">
        <f>IFERROR(VLOOKUP(B246,'ПО КОРИСНИЦИМА'!$C$16:$S$1823,5,FALSE),"")</f>
        <v/>
      </c>
      <c r="D246" s="248">
        <f>SUMIF('ПО КОРИСНИЦИМА'!$G$16:$G$1823,"Свега за пројекат 0701-П49:",'ПО КОРИСНИЦИМА'!$H$16:$H$1823)</f>
        <v>0</v>
      </c>
      <c r="E246" s="248"/>
      <c r="F246" s="280"/>
      <c r="G246" s="249">
        <f>SUMIF('ПО КОРИСНИЦИМА'!$G$16:$G$1823,"Свега за пројекат 0701-П49:",'ПО КОРИСНИЦИМА'!$L$16:$L$1823)</f>
        <v>0</v>
      </c>
      <c r="H246" s="249"/>
      <c r="I246" s="287"/>
      <c r="J246" s="246">
        <f t="shared" si="11"/>
        <v>0</v>
      </c>
      <c r="K246" s="246"/>
      <c r="L246" s="279"/>
    </row>
    <row r="247" spans="1:12" hidden="1" x14ac:dyDescent="0.2">
      <c r="A247" s="183"/>
      <c r="B247" s="182" t="s">
        <v>4420</v>
      </c>
      <c r="C247" s="262" t="str">
        <f>IFERROR(VLOOKUP(B247,'ПО КОРИСНИЦИМА'!$C$16:$S$1823,5,FALSE),"")</f>
        <v/>
      </c>
      <c r="D247" s="248">
        <f>SUMIF('ПО КОРИСНИЦИМА'!$G$16:$G$1823,"Свега за пројекат 0701-П50:",'ПО КОРИСНИЦИМА'!$H$16:$H$1823)</f>
        <v>0</v>
      </c>
      <c r="E247" s="248"/>
      <c r="F247" s="280"/>
      <c r="G247" s="249">
        <f>SUMIF('ПО КОРИСНИЦИМА'!$G$16:$G$1823,"Свега за пројекат 0701-П50:",'ПО КОРИСНИЦИМА'!$L$16:$L$1823)</f>
        <v>0</v>
      </c>
      <c r="H247" s="249"/>
      <c r="I247" s="287"/>
      <c r="J247" s="246">
        <f t="shared" si="11"/>
        <v>0</v>
      </c>
      <c r="K247" s="272"/>
      <c r="L247" s="294"/>
    </row>
    <row r="248" spans="1:12" s="180" customFormat="1" ht="25.5" x14ac:dyDescent="0.2">
      <c r="A248" s="173" t="s">
        <v>3582</v>
      </c>
      <c r="B248" s="174"/>
      <c r="C248" s="260" t="s">
        <v>5285</v>
      </c>
      <c r="D248" s="242">
        <f>SUM(D249:D279)</f>
        <v>46232526</v>
      </c>
      <c r="E248" s="242">
        <f>SUM(E249:E279)</f>
        <v>38532325.200000003</v>
      </c>
      <c r="F248" s="282">
        <f>E248/D248</f>
        <v>0.83344624518245014</v>
      </c>
      <c r="G248" s="243">
        <f>SUM(G249:G279)</f>
        <v>11965143.73</v>
      </c>
      <c r="H248" s="243">
        <f>SUM(H249:H250)</f>
        <v>10314919.590000002</v>
      </c>
      <c r="I248" s="289">
        <f>H248/G248</f>
        <v>0.8620807089962137</v>
      </c>
      <c r="J248" s="242">
        <f t="shared" si="11"/>
        <v>58197669.730000004</v>
      </c>
      <c r="K248" s="242">
        <f>E248+H248</f>
        <v>48847244.790000007</v>
      </c>
      <c r="L248" s="282">
        <f>K248/J248</f>
        <v>0.83933334473046783</v>
      </c>
    </row>
    <row r="249" spans="1:12" ht="25.5" x14ac:dyDescent="0.2">
      <c r="A249" s="175"/>
      <c r="B249" s="184" t="s">
        <v>4185</v>
      </c>
      <c r="C249" s="267" t="s">
        <v>4062</v>
      </c>
      <c r="D249" s="244">
        <f>SUMIF('ПО КОРИСНИЦИМА'!$G$16:$G$1823,"Свега за програмску активност 2001-0001:",'ПО КОРИСНИЦИМА'!$H$16:$H$1823)</f>
        <v>46232526</v>
      </c>
      <c r="E249" s="244">
        <f>SUMIF('ПО КОРИСНИЦИМА'!$G$16:$G$1823,"Свега за програмску активност 2001-0001:",'ПО КОРИСНИЦИМА'!$I$16:$I$1823)</f>
        <v>38532325.200000003</v>
      </c>
      <c r="F249" s="278">
        <f>E249/D249</f>
        <v>0.83344624518245014</v>
      </c>
      <c r="G249" s="245">
        <f>SUMIF('ПО КОРИСНИЦИМА'!$G$16:$G$1823,"Свега за програмску активност 2001-0001:",'ПО КОРИСНИЦИМА'!$L$16:$L$1823)</f>
        <v>11965143.73</v>
      </c>
      <c r="H249" s="245">
        <f>SUMIF('ПО КОРИСНИЦИМА'!$G$16:$G$1823,"Свега за програмску активност 2001-0001:",'ПО КОРИСНИЦИМА'!$M$16:$M$1823)</f>
        <v>10314919.590000002</v>
      </c>
      <c r="I249" s="285">
        <f>H249/G249</f>
        <v>0.8620807089962137</v>
      </c>
      <c r="J249" s="244">
        <f t="shared" si="11"/>
        <v>58197669.730000004</v>
      </c>
      <c r="K249" s="244">
        <f>E249+H249</f>
        <v>48847244.790000007</v>
      </c>
      <c r="L249" s="278">
        <f>K249/J249</f>
        <v>0.83933334473046783</v>
      </c>
    </row>
    <row r="250" spans="1:12" hidden="1" x14ac:dyDescent="0.2">
      <c r="A250" s="182"/>
      <c r="B250" s="182" t="s">
        <v>4421</v>
      </c>
      <c r="C250" s="262" t="str">
        <f>IFERROR(VLOOKUP(B250,'ПО КОРИСНИЦИМА'!$C$16:$S$1823,5,FALSE),"")</f>
        <v/>
      </c>
      <c r="D250" s="248">
        <f>SUMIF('ПО КОРИСНИЦИМА'!$G$16:$G$1823,"Свега за пројекат 2001-П1:",'ПО КОРИСНИЦИМА'!$H$16:$H$1823)</f>
        <v>0</v>
      </c>
      <c r="E250" s="248">
        <f>SUMIF('ПО КОРИСНИЦИМА'!$G$16:$G$1823,"Свега за пројекат 2001-П1:",'ПО КОРИСНИЦИМА'!$I$16:$I$1823)</f>
        <v>0</v>
      </c>
      <c r="F250" s="280"/>
      <c r="G250" s="249">
        <f>SUMIF('ПО КОРИСНИЦИМА'!$G$16:$G$1823,"Свега за пројекат 2001-П1:",'ПО КОРИСНИЦИМА'!$L$16:$L$1823)</f>
        <v>0</v>
      </c>
      <c r="H250" s="249">
        <f>SUMIF('ПО КОРИСНИЦИМА'!$G$16:$G$1823,"Свега за пројекат 2001-П1:",'ПО КОРИСНИЦИМА'!$M$16:$M$1823)</f>
        <v>0</v>
      </c>
      <c r="I250" s="287"/>
      <c r="J250" s="246">
        <f t="shared" si="11"/>
        <v>0</v>
      </c>
      <c r="K250" s="246">
        <f>E250+H250</f>
        <v>0</v>
      </c>
      <c r="L250" s="279"/>
    </row>
    <row r="251" spans="1:12" hidden="1" x14ac:dyDescent="0.2">
      <c r="A251" s="182"/>
      <c r="B251" s="182" t="s">
        <v>4422</v>
      </c>
      <c r="C251" s="262" t="str">
        <f>IFERROR(VLOOKUP(B251,'ПО КОРИСНИЦИМА'!$C$16:$S$1823,5,FALSE),"")</f>
        <v/>
      </c>
      <c r="D251" s="248">
        <f>SUMIF('ПО КОРИСНИЦИМА'!$G$16:$G$1823,"Свега за пројекат 2001-П2:",'ПО КОРИСНИЦИМА'!$H$16:$H$1823)</f>
        <v>0</v>
      </c>
      <c r="E251" s="248"/>
      <c r="F251" s="280"/>
      <c r="G251" s="249">
        <f>SUMIF('ПО КОРИСНИЦИМА'!$G$16:$G$1823,"Свега за пројекат 2001-П2:",'ПО КОРИСНИЦИМА'!$L$16:$L$1823)</f>
        <v>0</v>
      </c>
      <c r="H251" s="249"/>
      <c r="I251" s="287"/>
      <c r="J251" s="246">
        <f t="shared" si="11"/>
        <v>0</v>
      </c>
      <c r="K251" s="246"/>
      <c r="L251" s="279"/>
    </row>
    <row r="252" spans="1:12" hidden="1" x14ac:dyDescent="0.2">
      <c r="A252" s="182"/>
      <c r="B252" s="182" t="s">
        <v>4423</v>
      </c>
      <c r="C252" s="262" t="str">
        <f>IFERROR(VLOOKUP(B252,'ПО КОРИСНИЦИМА'!$C$16:$S$1823,5,FALSE),"")</f>
        <v/>
      </c>
      <c r="D252" s="248">
        <f>SUMIF('ПО КОРИСНИЦИМА'!$G$16:$G$1823,"Свега за пројекат 2001-П3:",'ПО КОРИСНИЦИМА'!$H$16:$H$1823)</f>
        <v>0</v>
      </c>
      <c r="E252" s="248"/>
      <c r="F252" s="280"/>
      <c r="G252" s="249">
        <f>SUMIF('ПО КОРИСНИЦИМА'!$G$16:$G$1823,"Свега за пројекат 2001-П3:",'ПО КОРИСНИЦИМА'!$L$16:$L$1823)</f>
        <v>0</v>
      </c>
      <c r="H252" s="249"/>
      <c r="I252" s="287"/>
      <c r="J252" s="246">
        <f t="shared" ref="J252:J315" si="12">D252+G252</f>
        <v>0</v>
      </c>
      <c r="K252" s="246"/>
      <c r="L252" s="279"/>
    </row>
    <row r="253" spans="1:12" hidden="1" x14ac:dyDescent="0.2">
      <c r="A253" s="182"/>
      <c r="B253" s="182" t="s">
        <v>4424</v>
      </c>
      <c r="C253" s="262" t="str">
        <f>IFERROR(VLOOKUP(B253,'ПО КОРИСНИЦИМА'!$C$16:$S$1823,5,FALSE),"")</f>
        <v/>
      </c>
      <c r="D253" s="248">
        <f>SUMIF('ПО КОРИСНИЦИМА'!$G$16:$G$1823,"Свега за пројекат 2001-П4:",'ПО КОРИСНИЦИМА'!$H$16:$H$1823)</f>
        <v>0</v>
      </c>
      <c r="E253" s="248"/>
      <c r="F253" s="280"/>
      <c r="G253" s="249">
        <f>SUMIF('ПО КОРИСНИЦИМА'!$G$16:$G$1823,"Свега за пројекат 2001-П4:",'ПО КОРИСНИЦИМА'!$L$16:$L$1823)</f>
        <v>0</v>
      </c>
      <c r="H253" s="249"/>
      <c r="I253" s="287"/>
      <c r="J253" s="246">
        <f t="shared" si="12"/>
        <v>0</v>
      </c>
      <c r="K253" s="246"/>
      <c r="L253" s="279"/>
    </row>
    <row r="254" spans="1:12" hidden="1" x14ac:dyDescent="0.2">
      <c r="A254" s="182"/>
      <c r="B254" s="182" t="s">
        <v>4425</v>
      </c>
      <c r="C254" s="262" t="str">
        <f>IFERROR(VLOOKUP(B254,'ПО КОРИСНИЦИМА'!$C$16:$S$1823,5,FALSE),"")</f>
        <v/>
      </c>
      <c r="D254" s="248">
        <f>SUMIF('ПО КОРИСНИЦИМА'!$G$16:$G$1823,"Свега за пројекат 2001-П5:",'ПО КОРИСНИЦИМА'!$H$16:$H$1823)</f>
        <v>0</v>
      </c>
      <c r="E254" s="248"/>
      <c r="F254" s="280"/>
      <c r="G254" s="249">
        <f>SUMIF('ПО КОРИСНИЦИМА'!$G$16:$G$1823,"Свега за пројекат 2001-П5:",'ПО КОРИСНИЦИМА'!$L$16:$L$1823)</f>
        <v>0</v>
      </c>
      <c r="H254" s="249"/>
      <c r="I254" s="287"/>
      <c r="J254" s="246">
        <f t="shared" si="12"/>
        <v>0</v>
      </c>
      <c r="K254" s="246"/>
      <c r="L254" s="279"/>
    </row>
    <row r="255" spans="1:12" hidden="1" x14ac:dyDescent="0.2">
      <c r="A255" s="182"/>
      <c r="B255" s="182" t="s">
        <v>4426</v>
      </c>
      <c r="C255" s="262" t="str">
        <f>IFERROR(VLOOKUP(B255,'ПО КОРИСНИЦИМА'!$C$16:$S$1823,5,FALSE),"")</f>
        <v/>
      </c>
      <c r="D255" s="248">
        <f>SUMIF('ПО КОРИСНИЦИМА'!$G$16:$G$1823,"Свега за пројекат 2001-П6:",'ПО КОРИСНИЦИМА'!$H$16:$H$1823)</f>
        <v>0</v>
      </c>
      <c r="E255" s="248"/>
      <c r="F255" s="280"/>
      <c r="G255" s="249">
        <f>SUMIF('ПО КОРИСНИЦИМА'!$G$16:$G$1823,"Свега за пројекат 2001-П6:",'ПО КОРИСНИЦИМА'!$L$16:$L$1823)</f>
        <v>0</v>
      </c>
      <c r="H255" s="249"/>
      <c r="I255" s="287"/>
      <c r="J255" s="246">
        <f t="shared" si="12"/>
        <v>0</v>
      </c>
      <c r="K255" s="246"/>
      <c r="L255" s="279"/>
    </row>
    <row r="256" spans="1:12" hidden="1" x14ac:dyDescent="0.2">
      <c r="A256" s="182"/>
      <c r="B256" s="182" t="s">
        <v>4427</v>
      </c>
      <c r="C256" s="262" t="str">
        <f>IFERROR(VLOOKUP(B256,'ПО КОРИСНИЦИМА'!$C$16:$S$1823,5,FALSE),"")</f>
        <v/>
      </c>
      <c r="D256" s="248">
        <f>SUMIF('ПО КОРИСНИЦИМА'!$G$16:$G$1823,"Свега за пројекат 2001-П7:",'ПО КОРИСНИЦИМА'!$H$16:$H$1823)</f>
        <v>0</v>
      </c>
      <c r="E256" s="248"/>
      <c r="F256" s="280"/>
      <c r="G256" s="249">
        <f>SUMIF('ПО КОРИСНИЦИМА'!$G$16:$G$1823,"Свега за пројекат 2001-П7:",'ПО КОРИСНИЦИМА'!$L$16:$L$1823)</f>
        <v>0</v>
      </c>
      <c r="H256" s="249"/>
      <c r="I256" s="287"/>
      <c r="J256" s="246">
        <f t="shared" si="12"/>
        <v>0</v>
      </c>
      <c r="K256" s="246"/>
      <c r="L256" s="279"/>
    </row>
    <row r="257" spans="1:12" hidden="1" x14ac:dyDescent="0.2">
      <c r="A257" s="182"/>
      <c r="B257" s="182" t="s">
        <v>4428</v>
      </c>
      <c r="C257" s="262" t="str">
        <f>IFERROR(VLOOKUP(B257,'ПО КОРИСНИЦИМА'!$C$16:$S$1823,5,FALSE),"")</f>
        <v/>
      </c>
      <c r="D257" s="248">
        <f>SUMIF('ПО КОРИСНИЦИМА'!$G$16:$G$1823,"Свега за пројекат 2001-П8:",'ПО КОРИСНИЦИМА'!$H$16:$H$1823)</f>
        <v>0</v>
      </c>
      <c r="E257" s="248"/>
      <c r="F257" s="280"/>
      <c r="G257" s="249">
        <f>SUMIF('ПО КОРИСНИЦИМА'!$G$16:$G$1823,"Свега за пројекат 2001-П8:",'ПО КОРИСНИЦИМА'!$L$16:$L$1823)</f>
        <v>0</v>
      </c>
      <c r="H257" s="249"/>
      <c r="I257" s="287"/>
      <c r="J257" s="246">
        <f t="shared" si="12"/>
        <v>0</v>
      </c>
      <c r="K257" s="246"/>
      <c r="L257" s="279"/>
    </row>
    <row r="258" spans="1:12" hidden="1" x14ac:dyDescent="0.2">
      <c r="A258" s="182"/>
      <c r="B258" s="182" t="s">
        <v>4429</v>
      </c>
      <c r="C258" s="262" t="str">
        <f>IFERROR(VLOOKUP(B258,'ПО КОРИСНИЦИМА'!$C$16:$S$1823,5,FALSE),"")</f>
        <v/>
      </c>
      <c r="D258" s="248">
        <f>SUMIF('ПО КОРИСНИЦИМА'!$G$16:$G$1823,"Свега за пројекат 2001-П9:",'ПО КОРИСНИЦИМА'!$H$16:$H$1823)</f>
        <v>0</v>
      </c>
      <c r="E258" s="248"/>
      <c r="F258" s="280"/>
      <c r="G258" s="249">
        <f>SUMIF('ПО КОРИСНИЦИМА'!$G$16:$G$1823,"Свега за пројекат 2001-П9:",'ПО КОРИСНИЦИМА'!$L$16:$L$1823)</f>
        <v>0</v>
      </c>
      <c r="H258" s="249"/>
      <c r="I258" s="287"/>
      <c r="J258" s="246">
        <f t="shared" si="12"/>
        <v>0</v>
      </c>
      <c r="K258" s="246"/>
      <c r="L258" s="279"/>
    </row>
    <row r="259" spans="1:12" hidden="1" x14ac:dyDescent="0.2">
      <c r="A259" s="182"/>
      <c r="B259" s="182" t="s">
        <v>4430</v>
      </c>
      <c r="C259" s="262" t="str">
        <f>IFERROR(VLOOKUP(B259,'ПО КОРИСНИЦИМА'!$C$16:$S$1823,5,FALSE),"")</f>
        <v/>
      </c>
      <c r="D259" s="248">
        <f>SUMIF('ПО КОРИСНИЦИМА'!$G$16:$G$1823,"Свега за пројекат 2001-П10:",'ПО КОРИСНИЦИМА'!$H$16:$H$1823)</f>
        <v>0</v>
      </c>
      <c r="E259" s="248"/>
      <c r="F259" s="280"/>
      <c r="G259" s="249">
        <f>SUMIF('ПО КОРИСНИЦИМА'!$G$16:$G$1823,"Свега за пројекат 2001-П10:",'ПО КОРИСНИЦИМА'!$L$16:$L$1823)</f>
        <v>0</v>
      </c>
      <c r="H259" s="249"/>
      <c r="I259" s="287"/>
      <c r="J259" s="246">
        <f t="shared" si="12"/>
        <v>0</v>
      </c>
      <c r="K259" s="246"/>
      <c r="L259" s="279"/>
    </row>
    <row r="260" spans="1:12" hidden="1" x14ac:dyDescent="0.2">
      <c r="A260" s="182"/>
      <c r="B260" s="182" t="s">
        <v>4431</v>
      </c>
      <c r="C260" s="262" t="str">
        <f>IFERROR(VLOOKUP(B260,'ПО КОРИСНИЦИМА'!$C$16:$S$1823,5,FALSE),"")</f>
        <v/>
      </c>
      <c r="D260" s="248">
        <f>SUMIF('ПО КОРИСНИЦИМА'!$G$16:$G$1823,"Свега за пројекат 2001-П11:",'ПО КОРИСНИЦИМА'!$H$16:$H$1823)</f>
        <v>0</v>
      </c>
      <c r="E260" s="248"/>
      <c r="F260" s="280"/>
      <c r="G260" s="249">
        <f>SUMIF('ПО КОРИСНИЦИМА'!$G$16:$G$1823,"Свега за пројекат 2001-П11:",'ПО КОРИСНИЦИМА'!$L$16:$L$1823)</f>
        <v>0</v>
      </c>
      <c r="H260" s="249"/>
      <c r="I260" s="287"/>
      <c r="J260" s="246">
        <f t="shared" si="12"/>
        <v>0</v>
      </c>
      <c r="K260" s="246"/>
      <c r="L260" s="279"/>
    </row>
    <row r="261" spans="1:12" hidden="1" x14ac:dyDescent="0.2">
      <c r="A261" s="182"/>
      <c r="B261" s="182" t="s">
        <v>4432</v>
      </c>
      <c r="C261" s="262" t="str">
        <f>IFERROR(VLOOKUP(B261,'ПО КОРИСНИЦИМА'!$C$16:$S$1823,5,FALSE),"")</f>
        <v/>
      </c>
      <c r="D261" s="248">
        <f>SUMIF('ПО КОРИСНИЦИМА'!$G$16:$G$1823,"Свега за пројекат 2001-П12:",'ПО КОРИСНИЦИМА'!$H$16:$H$1823)</f>
        <v>0</v>
      </c>
      <c r="E261" s="248"/>
      <c r="F261" s="280"/>
      <c r="G261" s="249">
        <f>SUMIF('ПО КОРИСНИЦИМА'!$G$16:$G$1823,"Свега за пројекат 2001-П12:",'ПО КОРИСНИЦИМА'!$L$16:$L$1823)</f>
        <v>0</v>
      </c>
      <c r="H261" s="249"/>
      <c r="I261" s="287"/>
      <c r="J261" s="246">
        <f t="shared" si="12"/>
        <v>0</v>
      </c>
      <c r="K261" s="246"/>
      <c r="L261" s="279"/>
    </row>
    <row r="262" spans="1:12" hidden="1" x14ac:dyDescent="0.2">
      <c r="A262" s="182"/>
      <c r="B262" s="182" t="s">
        <v>4433</v>
      </c>
      <c r="C262" s="262" t="str">
        <f>IFERROR(VLOOKUP(B262,'ПО КОРИСНИЦИМА'!$C$16:$S$1823,5,FALSE),"")</f>
        <v/>
      </c>
      <c r="D262" s="248">
        <f>SUMIF('ПО КОРИСНИЦИМА'!$G$16:$G$1823,"Свега за пројекат 2001-П13:",'ПО КОРИСНИЦИМА'!$H$16:$H$1823)</f>
        <v>0</v>
      </c>
      <c r="E262" s="248"/>
      <c r="F262" s="280"/>
      <c r="G262" s="249">
        <f>SUMIF('ПО КОРИСНИЦИМА'!$G$16:$G$1823,"Свега за пројекат 2001-П13:",'ПО КОРИСНИЦИМА'!$L$16:$L$1823)</f>
        <v>0</v>
      </c>
      <c r="H262" s="249"/>
      <c r="I262" s="287"/>
      <c r="J262" s="246">
        <f t="shared" si="12"/>
        <v>0</v>
      </c>
      <c r="K262" s="246"/>
      <c r="L262" s="279"/>
    </row>
    <row r="263" spans="1:12" hidden="1" x14ac:dyDescent="0.2">
      <c r="A263" s="182"/>
      <c r="B263" s="182" t="s">
        <v>4434</v>
      </c>
      <c r="C263" s="262" t="str">
        <f>IFERROR(VLOOKUP(B263,'ПО КОРИСНИЦИМА'!$C$16:$S$1823,5,FALSE),"")</f>
        <v/>
      </c>
      <c r="D263" s="248">
        <f>SUMIF('ПО КОРИСНИЦИМА'!$G$16:$G$1823,"Свега за пројекат 2001-П14:",'ПО КОРИСНИЦИМА'!$H$16:$H$1823)</f>
        <v>0</v>
      </c>
      <c r="E263" s="248"/>
      <c r="F263" s="280"/>
      <c r="G263" s="249">
        <f>SUMIF('ПО КОРИСНИЦИМА'!$G$16:$G$1823,"Свега за пројекат 2001-П14:",'ПО КОРИСНИЦИМА'!$L$16:$L$1823)</f>
        <v>0</v>
      </c>
      <c r="H263" s="249"/>
      <c r="I263" s="287"/>
      <c r="J263" s="246">
        <f t="shared" si="12"/>
        <v>0</v>
      </c>
      <c r="K263" s="246"/>
      <c r="L263" s="279"/>
    </row>
    <row r="264" spans="1:12" hidden="1" x14ac:dyDescent="0.2">
      <c r="A264" s="182"/>
      <c r="B264" s="182" t="s">
        <v>4435</v>
      </c>
      <c r="C264" s="262" t="str">
        <f>IFERROR(VLOOKUP(B264,'ПО КОРИСНИЦИМА'!$C$16:$S$1823,5,FALSE),"")</f>
        <v/>
      </c>
      <c r="D264" s="248">
        <f>SUMIF('ПО КОРИСНИЦИМА'!$G$16:$G$1823,"Свега за пројекат 2001-П15:",'ПО КОРИСНИЦИМА'!$H$16:$H$1823)</f>
        <v>0</v>
      </c>
      <c r="E264" s="248"/>
      <c r="F264" s="280"/>
      <c r="G264" s="249">
        <f>SUMIF('ПО КОРИСНИЦИМА'!$G$16:$G$1823,"Свега за пројекат 2001-П15:",'ПО КОРИСНИЦИМА'!$L$16:$L$1823)</f>
        <v>0</v>
      </c>
      <c r="H264" s="249"/>
      <c r="I264" s="287"/>
      <c r="J264" s="246">
        <f t="shared" si="12"/>
        <v>0</v>
      </c>
      <c r="K264" s="246"/>
      <c r="L264" s="279"/>
    </row>
    <row r="265" spans="1:12" hidden="1" x14ac:dyDescent="0.2">
      <c r="A265" s="182"/>
      <c r="B265" s="182" t="s">
        <v>4436</v>
      </c>
      <c r="C265" s="262" t="str">
        <f>IFERROR(VLOOKUP(B265,'ПО КОРИСНИЦИМА'!$C$16:$S$1823,5,FALSE),"")</f>
        <v/>
      </c>
      <c r="D265" s="248">
        <f>SUMIF('ПО КОРИСНИЦИМА'!$G$16:$G$1823,"Свега за пројекат 2001-П16:",'ПО КОРИСНИЦИМА'!$H$16:$H$1823)</f>
        <v>0</v>
      </c>
      <c r="E265" s="248"/>
      <c r="F265" s="280"/>
      <c r="G265" s="249">
        <f>SUMIF('ПО КОРИСНИЦИМА'!$G$16:$G$1823,"Свега за пројекат 2001-П16:",'ПО КОРИСНИЦИМА'!$L$16:$L$1823)</f>
        <v>0</v>
      </c>
      <c r="H265" s="249"/>
      <c r="I265" s="287"/>
      <c r="J265" s="246">
        <f t="shared" si="12"/>
        <v>0</v>
      </c>
      <c r="K265" s="246"/>
      <c r="L265" s="279"/>
    </row>
    <row r="266" spans="1:12" hidden="1" x14ac:dyDescent="0.2">
      <c r="A266" s="182"/>
      <c r="B266" s="182" t="s">
        <v>4437</v>
      </c>
      <c r="C266" s="262" t="str">
        <f>IFERROR(VLOOKUP(B266,'ПО КОРИСНИЦИМА'!$C$16:$S$1823,5,FALSE),"")</f>
        <v/>
      </c>
      <c r="D266" s="248">
        <f>SUMIF('ПО КОРИСНИЦИМА'!$G$16:$G$1823,"Свега за пројекат 2001-П17:",'ПО КОРИСНИЦИМА'!$H$16:$H$1823)</f>
        <v>0</v>
      </c>
      <c r="E266" s="248"/>
      <c r="F266" s="280"/>
      <c r="G266" s="249">
        <f>SUMIF('ПО КОРИСНИЦИМА'!$G$16:$G$1823,"Свега за пројекат 2001-П17:",'ПО КОРИСНИЦИМА'!$L$16:$L$1823)</f>
        <v>0</v>
      </c>
      <c r="H266" s="249"/>
      <c r="I266" s="287"/>
      <c r="J266" s="246">
        <f t="shared" si="12"/>
        <v>0</v>
      </c>
      <c r="K266" s="246"/>
      <c r="L266" s="279"/>
    </row>
    <row r="267" spans="1:12" hidden="1" x14ac:dyDescent="0.2">
      <c r="A267" s="182"/>
      <c r="B267" s="182" t="s">
        <v>4438</v>
      </c>
      <c r="C267" s="262" t="str">
        <f>IFERROR(VLOOKUP(B267,'ПО КОРИСНИЦИМА'!$C$16:$S$1823,5,FALSE),"")</f>
        <v/>
      </c>
      <c r="D267" s="248">
        <f>SUMIF('ПО КОРИСНИЦИМА'!$G$16:$G$1823,"Свега за пројекат 2001-П18:",'ПО КОРИСНИЦИМА'!$H$16:$H$1823)</f>
        <v>0</v>
      </c>
      <c r="E267" s="248"/>
      <c r="F267" s="280"/>
      <c r="G267" s="249">
        <f>SUMIF('ПО КОРИСНИЦИМА'!$G$16:$G$1823,"Свега за пројекат 2001-П18:",'ПО КОРИСНИЦИМА'!$L$16:$L$1823)</f>
        <v>0</v>
      </c>
      <c r="H267" s="249"/>
      <c r="I267" s="287"/>
      <c r="J267" s="246">
        <f t="shared" si="12"/>
        <v>0</v>
      </c>
      <c r="K267" s="246"/>
      <c r="L267" s="279"/>
    </row>
    <row r="268" spans="1:12" hidden="1" x14ac:dyDescent="0.2">
      <c r="A268" s="182"/>
      <c r="B268" s="182" t="s">
        <v>4439</v>
      </c>
      <c r="C268" s="262" t="str">
        <f>IFERROR(VLOOKUP(B268,'ПО КОРИСНИЦИМА'!$C$16:$S$1823,5,FALSE),"")</f>
        <v/>
      </c>
      <c r="D268" s="248">
        <f>SUMIF('ПО КОРИСНИЦИМА'!$G$16:$G$1823,"Свега за пројекат 2001-П19:",'ПО КОРИСНИЦИМА'!$H$16:$H$1823)</f>
        <v>0</v>
      </c>
      <c r="E268" s="248"/>
      <c r="F268" s="280"/>
      <c r="G268" s="249">
        <f>SUMIF('ПО КОРИСНИЦИМА'!$G$16:$G$1823,"Свега за пројекат 2001-П19:",'ПО КОРИСНИЦИМА'!$L$16:$L$1823)</f>
        <v>0</v>
      </c>
      <c r="H268" s="249"/>
      <c r="I268" s="287"/>
      <c r="J268" s="246">
        <f t="shared" si="12"/>
        <v>0</v>
      </c>
      <c r="K268" s="246"/>
      <c r="L268" s="279"/>
    </row>
    <row r="269" spans="1:12" hidden="1" x14ac:dyDescent="0.2">
      <c r="A269" s="182"/>
      <c r="B269" s="182" t="s">
        <v>4440</v>
      </c>
      <c r="C269" s="262" t="str">
        <f>IFERROR(VLOOKUP(B269,'ПО КОРИСНИЦИМА'!$C$16:$S$1823,5,FALSE),"")</f>
        <v/>
      </c>
      <c r="D269" s="248">
        <f>SUMIF('ПО КОРИСНИЦИМА'!$G$16:$G$1823,"Свега за пројекат 2001-П20:",'ПО КОРИСНИЦИМА'!$H$16:$H$1823)</f>
        <v>0</v>
      </c>
      <c r="E269" s="248"/>
      <c r="F269" s="280"/>
      <c r="G269" s="249">
        <f>SUMIF('ПО КОРИСНИЦИМА'!$G$16:$G$1823,"Свега за пројекат 2001-П20:",'ПО КОРИСНИЦИМА'!$L$16:$L$1823)</f>
        <v>0</v>
      </c>
      <c r="H269" s="249"/>
      <c r="I269" s="287"/>
      <c r="J269" s="246">
        <f t="shared" si="12"/>
        <v>0</v>
      </c>
      <c r="K269" s="246"/>
      <c r="L269" s="279"/>
    </row>
    <row r="270" spans="1:12" hidden="1" x14ac:dyDescent="0.2">
      <c r="A270" s="182"/>
      <c r="B270" s="182" t="s">
        <v>4441</v>
      </c>
      <c r="C270" s="262" t="str">
        <f>IFERROR(VLOOKUP(B270,'ПО КОРИСНИЦИМА'!$C$16:$S$1823,5,FALSE),"")</f>
        <v/>
      </c>
      <c r="D270" s="248">
        <f>SUMIF('ПО КОРИСНИЦИМА'!$G$16:$G$1823,"Свега за пројекат 2001-П21:",'ПО КОРИСНИЦИМА'!$H$16:$H$1823)</f>
        <v>0</v>
      </c>
      <c r="E270" s="248"/>
      <c r="F270" s="280"/>
      <c r="G270" s="249">
        <f>SUMIF('ПО КОРИСНИЦИМА'!$G$16:$G$1823,"Свега за пројекат 2001-П21:",'ПО КОРИСНИЦИМА'!$L$16:$L$1823)</f>
        <v>0</v>
      </c>
      <c r="H270" s="249"/>
      <c r="I270" s="287"/>
      <c r="J270" s="246">
        <f t="shared" si="12"/>
        <v>0</v>
      </c>
      <c r="K270" s="246"/>
      <c r="L270" s="279"/>
    </row>
    <row r="271" spans="1:12" hidden="1" x14ac:dyDescent="0.2">
      <c r="A271" s="182"/>
      <c r="B271" s="182" t="s">
        <v>4442</v>
      </c>
      <c r="C271" s="262" t="str">
        <f>IFERROR(VLOOKUP(B271,'ПО КОРИСНИЦИМА'!$C$16:$S$1823,5,FALSE),"")</f>
        <v/>
      </c>
      <c r="D271" s="248">
        <f>SUMIF('ПО КОРИСНИЦИМА'!$G$16:$G$1823,"Свега за пројекат 2001-П22:",'ПО КОРИСНИЦИМА'!$H$16:$H$1823)</f>
        <v>0</v>
      </c>
      <c r="E271" s="248"/>
      <c r="F271" s="280"/>
      <c r="G271" s="249">
        <f>SUMIF('ПО КОРИСНИЦИМА'!$G$16:$G$1823,"Свега за пројекат 2001-П22:",'ПО КОРИСНИЦИМА'!$L$16:$L$1823)</f>
        <v>0</v>
      </c>
      <c r="H271" s="249"/>
      <c r="I271" s="287"/>
      <c r="J271" s="246">
        <f t="shared" si="12"/>
        <v>0</v>
      </c>
      <c r="K271" s="246"/>
      <c r="L271" s="279"/>
    </row>
    <row r="272" spans="1:12" hidden="1" x14ac:dyDescent="0.2">
      <c r="A272" s="182"/>
      <c r="B272" s="182" t="s">
        <v>4443</v>
      </c>
      <c r="C272" s="262" t="str">
        <f>IFERROR(VLOOKUP(B272,'ПО КОРИСНИЦИМА'!$C$16:$S$1823,5,FALSE),"")</f>
        <v/>
      </c>
      <c r="D272" s="248">
        <f>SUMIF('ПО КОРИСНИЦИМА'!$G$16:$G$1823,"Свега за пројекат 2001-П23:",'ПО КОРИСНИЦИМА'!$H$16:$H$1823)</f>
        <v>0</v>
      </c>
      <c r="E272" s="248"/>
      <c r="F272" s="280"/>
      <c r="G272" s="249">
        <f>SUMIF('ПО КОРИСНИЦИМА'!$G$16:$G$1823,"Свега за пројекат 2001-П23:",'ПО КОРИСНИЦИМА'!$L$16:$L$1823)</f>
        <v>0</v>
      </c>
      <c r="H272" s="249"/>
      <c r="I272" s="287"/>
      <c r="J272" s="246">
        <f t="shared" si="12"/>
        <v>0</v>
      </c>
      <c r="K272" s="246"/>
      <c r="L272" s="279"/>
    </row>
    <row r="273" spans="1:12" hidden="1" x14ac:dyDescent="0.2">
      <c r="A273" s="182"/>
      <c r="B273" s="182" t="s">
        <v>4444</v>
      </c>
      <c r="C273" s="262" t="str">
        <f>IFERROR(VLOOKUP(B273,'ПО КОРИСНИЦИМА'!$C$16:$S$1823,5,FALSE),"")</f>
        <v/>
      </c>
      <c r="D273" s="248">
        <f>SUMIF('ПО КОРИСНИЦИМА'!$G$16:$G$1823,"Свега за пројекат 2001-П24:",'ПО КОРИСНИЦИМА'!$H$16:$H$1823)</f>
        <v>0</v>
      </c>
      <c r="E273" s="248"/>
      <c r="F273" s="280"/>
      <c r="G273" s="249">
        <f>SUMIF('ПО КОРИСНИЦИМА'!$G$16:$G$1823,"Свега за пројекат 2001-П24:",'ПО КОРИСНИЦИМА'!$L$16:$L$1823)</f>
        <v>0</v>
      </c>
      <c r="H273" s="249"/>
      <c r="I273" s="287"/>
      <c r="J273" s="246">
        <f t="shared" si="12"/>
        <v>0</v>
      </c>
      <c r="K273" s="246"/>
      <c r="L273" s="279"/>
    </row>
    <row r="274" spans="1:12" hidden="1" x14ac:dyDescent="0.2">
      <c r="A274" s="182"/>
      <c r="B274" s="182" t="s">
        <v>4445</v>
      </c>
      <c r="C274" s="262" t="str">
        <f>IFERROR(VLOOKUP(B274,'ПО КОРИСНИЦИМА'!$C$16:$S$1823,5,FALSE),"")</f>
        <v/>
      </c>
      <c r="D274" s="248">
        <f>SUMIF('ПО КОРИСНИЦИМА'!$G$16:$G$1823,"Свега за пројекат 2001-П25:",'ПО КОРИСНИЦИМА'!$H$16:$H$1823)</f>
        <v>0</v>
      </c>
      <c r="E274" s="248"/>
      <c r="F274" s="280"/>
      <c r="G274" s="249">
        <f>SUMIF('ПО КОРИСНИЦИМА'!$G$16:$G$1823,"Свега за пројекат 2001-П25:",'ПО КОРИСНИЦИМА'!$L$16:$L$1823)</f>
        <v>0</v>
      </c>
      <c r="H274" s="249"/>
      <c r="I274" s="287"/>
      <c r="J274" s="246">
        <f t="shared" si="12"/>
        <v>0</v>
      </c>
      <c r="K274" s="246"/>
      <c r="L274" s="279"/>
    </row>
    <row r="275" spans="1:12" hidden="1" x14ac:dyDescent="0.2">
      <c r="A275" s="182"/>
      <c r="B275" s="182" t="s">
        <v>4446</v>
      </c>
      <c r="C275" s="262" t="str">
        <f>IFERROR(VLOOKUP(B275,'ПО КОРИСНИЦИМА'!$C$16:$S$1823,5,FALSE),"")</f>
        <v/>
      </c>
      <c r="D275" s="248">
        <f>SUMIF('ПО КОРИСНИЦИМА'!$G$16:$G$1823,"Свега за пројекат 2001-П26:",'ПО КОРИСНИЦИМА'!$H$16:$H$1823)</f>
        <v>0</v>
      </c>
      <c r="E275" s="248"/>
      <c r="F275" s="280"/>
      <c r="G275" s="249">
        <f>SUMIF('ПО КОРИСНИЦИМА'!$G$16:$G$1823,"Свега за пројекат 2001-П26:",'ПО КОРИСНИЦИМА'!$L$16:$L$1823)</f>
        <v>0</v>
      </c>
      <c r="H275" s="249"/>
      <c r="I275" s="287"/>
      <c r="J275" s="246">
        <f t="shared" si="12"/>
        <v>0</v>
      </c>
      <c r="K275" s="246"/>
      <c r="L275" s="279"/>
    </row>
    <row r="276" spans="1:12" hidden="1" x14ac:dyDescent="0.2">
      <c r="A276" s="182"/>
      <c r="B276" s="182" t="s">
        <v>4447</v>
      </c>
      <c r="C276" s="262" t="str">
        <f>IFERROR(VLOOKUP(B276,'ПО КОРИСНИЦИМА'!$C$16:$S$1823,5,FALSE),"")</f>
        <v/>
      </c>
      <c r="D276" s="248">
        <f>SUMIF('ПО КОРИСНИЦИМА'!$G$16:$G$1823,"Свега за пројекат 2001-П27:",'ПО КОРИСНИЦИМА'!$H$16:$H$1823)</f>
        <v>0</v>
      </c>
      <c r="E276" s="248"/>
      <c r="F276" s="280"/>
      <c r="G276" s="249">
        <f>SUMIF('ПО КОРИСНИЦИМА'!$G$16:$G$1823,"Свега за пројекат 2001-П27:",'ПО КОРИСНИЦИМА'!$L$16:$L$1823)</f>
        <v>0</v>
      </c>
      <c r="H276" s="249"/>
      <c r="I276" s="287"/>
      <c r="J276" s="246">
        <f t="shared" si="12"/>
        <v>0</v>
      </c>
      <c r="K276" s="246"/>
      <c r="L276" s="279"/>
    </row>
    <row r="277" spans="1:12" hidden="1" x14ac:dyDescent="0.2">
      <c r="A277" s="182"/>
      <c r="B277" s="182" t="s">
        <v>4448</v>
      </c>
      <c r="C277" s="262" t="str">
        <f>IFERROR(VLOOKUP(B277,'ПО КОРИСНИЦИМА'!$C$16:$S$1823,5,FALSE),"")</f>
        <v/>
      </c>
      <c r="D277" s="248">
        <f>SUMIF('ПО КОРИСНИЦИМА'!$G$16:$G$1823,"Свега за пројекат 2001-П28:",'ПО КОРИСНИЦИМА'!$H$16:$H$1823)</f>
        <v>0</v>
      </c>
      <c r="E277" s="248"/>
      <c r="F277" s="280"/>
      <c r="G277" s="249">
        <f>SUMIF('ПО КОРИСНИЦИМА'!$G$16:$G$1823,"Свега за пројекат 2001-П28:",'ПО КОРИСНИЦИМА'!$L$16:$L$1823)</f>
        <v>0</v>
      </c>
      <c r="H277" s="249"/>
      <c r="I277" s="287"/>
      <c r="J277" s="246">
        <f t="shared" si="12"/>
        <v>0</v>
      </c>
      <c r="K277" s="246"/>
      <c r="L277" s="279"/>
    </row>
    <row r="278" spans="1:12" hidden="1" x14ac:dyDescent="0.2">
      <c r="A278" s="182"/>
      <c r="B278" s="182" t="s">
        <v>4449</v>
      </c>
      <c r="C278" s="262" t="str">
        <f>IFERROR(VLOOKUP(B278,'ПО КОРИСНИЦИМА'!$C$16:$S$1823,5,FALSE),"")</f>
        <v/>
      </c>
      <c r="D278" s="248">
        <f>SUMIF('ПО КОРИСНИЦИМА'!$G$16:$G$1823,"Свега за пројекат 2001-П29:",'ПО КОРИСНИЦИМА'!$H$16:$H$1823)</f>
        <v>0</v>
      </c>
      <c r="E278" s="248"/>
      <c r="F278" s="280"/>
      <c r="G278" s="249">
        <f>SUMIF('ПО КОРИСНИЦИМА'!$G$16:$G$1823,"Свега за пројекат 2001-П29:",'ПО КОРИСНИЦИМА'!$L$16:$L$1823)</f>
        <v>0</v>
      </c>
      <c r="H278" s="249"/>
      <c r="I278" s="287"/>
      <c r="J278" s="246">
        <f t="shared" si="12"/>
        <v>0</v>
      </c>
      <c r="K278" s="246"/>
      <c r="L278" s="279"/>
    </row>
    <row r="279" spans="1:12" hidden="1" x14ac:dyDescent="0.2">
      <c r="A279" s="183"/>
      <c r="B279" s="182" t="s">
        <v>4510</v>
      </c>
      <c r="C279" s="262" t="str">
        <f>IFERROR(VLOOKUP(B279,'ПО КОРИСНИЦИМА'!$C$16:$S$1823,5,FALSE),"")</f>
        <v/>
      </c>
      <c r="D279" s="248">
        <f>SUMIF('ПО КОРИСНИЦИМА'!$G$16:$G$1823,"Свега за пројекат 2001-П30:",'ПО КОРИСНИЦИМА'!$H$16:$H$1823)</f>
        <v>0</v>
      </c>
      <c r="E279" s="248"/>
      <c r="F279" s="280"/>
      <c r="G279" s="249">
        <f>SUMIF('ПО КОРИСНИЦИМА'!$G$16:$G$1823,"Свега за пројекат 2001-П30:",'ПО КОРИСНИЦИМА'!$L$16:$L$1823)</f>
        <v>0</v>
      </c>
      <c r="H279" s="249"/>
      <c r="I279" s="287"/>
      <c r="J279" s="246">
        <f t="shared" si="12"/>
        <v>0</v>
      </c>
      <c r="K279" s="272"/>
      <c r="L279" s="294"/>
    </row>
    <row r="280" spans="1:12" s="180" customFormat="1" ht="25.5" x14ac:dyDescent="0.2">
      <c r="A280" s="173" t="s">
        <v>3585</v>
      </c>
      <c r="B280" s="174"/>
      <c r="C280" s="260" t="s">
        <v>5286</v>
      </c>
      <c r="D280" s="242">
        <f>SUM(D281:D311)</f>
        <v>33387768</v>
      </c>
      <c r="E280" s="242">
        <f>SUM(E281)</f>
        <v>14298109.6</v>
      </c>
      <c r="F280" s="282">
        <f>E280/D280</f>
        <v>0.42824394850233771</v>
      </c>
      <c r="G280" s="243">
        <f>SUM(G281:G311)</f>
        <v>0</v>
      </c>
      <c r="H280" s="243">
        <f>SUM(H281:H311)</f>
        <v>0</v>
      </c>
      <c r="I280" s="289"/>
      <c r="J280" s="242">
        <f t="shared" si="12"/>
        <v>33387768</v>
      </c>
      <c r="K280" s="242">
        <f>E280+H280</f>
        <v>14298109.6</v>
      </c>
      <c r="L280" s="282">
        <f>K280/J280</f>
        <v>0.42824394850233771</v>
      </c>
    </row>
    <row r="281" spans="1:12" x14ac:dyDescent="0.2">
      <c r="A281" s="175"/>
      <c r="B281" s="184" t="s">
        <v>4067</v>
      </c>
      <c r="C281" s="267" t="s">
        <v>4063</v>
      </c>
      <c r="D281" s="244">
        <f>SUMIF('ПО КОРИСНИЦИМА'!$G$16:$G$1823,"Свега за програмску активност 2002-0001:",'ПО КОРИСНИЦИМА'!$H$16:$H$1823)</f>
        <v>17430768</v>
      </c>
      <c r="E281" s="244">
        <f>SUMIF('ПО КОРИСНИЦИМА'!$G$16:$G$1823,"Свега за програмску активност 2002-0001:",'ПО КОРИСНИЦИМА'!$I$16:$I$1823)</f>
        <v>14298109.6</v>
      </c>
      <c r="F281" s="278">
        <f>E281/D281</f>
        <v>0.82027995553609567</v>
      </c>
      <c r="G281" s="245">
        <f>SUMIF('ПО КОРИСНИЦИМА'!$G$16:$G$1823,"Свега за програмску активност 2002-0001:",'ПО КОРИСНИЦИМА'!$L$16:$L$1823)</f>
        <v>0</v>
      </c>
      <c r="H281" s="245">
        <f>SUMIF('ПО КОРИСНИЦИМА'!$G$16:$G$1823,"Свега за програмску активност 2002-0001:",'ПО КОРИСНИЦИМА'!$M$16:$M$1823)</f>
        <v>0</v>
      </c>
      <c r="I281" s="285"/>
      <c r="J281" s="244">
        <f t="shared" si="12"/>
        <v>17430768</v>
      </c>
      <c r="K281" s="244">
        <f>E281+H281</f>
        <v>14298109.6</v>
      </c>
      <c r="L281" s="278">
        <f>K281/J281</f>
        <v>0.82027995553609567</v>
      </c>
    </row>
    <row r="282" spans="1:12" x14ac:dyDescent="0.2">
      <c r="A282" s="175"/>
      <c r="B282" s="184" t="s">
        <v>4450</v>
      </c>
      <c r="C282" s="262" t="str">
        <f>IFERROR(VLOOKUP(B282,'ПО КОРИСНИЦИМА'!$C$16:$S$1823,5,FALSE),"")</f>
        <v>Превоз ученика основних школа</v>
      </c>
      <c r="D282" s="248">
        <f>SUMIF('ПО КОРИСНИЦИМА'!$G$16:$G$1823,"Свега за пројекат 2002-П1:",'ПО КОРИСНИЦИМА'!$H$16:$H$1823)</f>
        <v>15957000</v>
      </c>
      <c r="E282" s="248"/>
      <c r="F282" s="280"/>
      <c r="G282" s="249">
        <f>SUMIF('ПО КОРИСНИЦИМА'!$G$16:$G$1823,"Свега за пројекат 2002-П1:",'ПО КОРИСНИЦИМА'!$L$16:$L$1823)</f>
        <v>0</v>
      </c>
      <c r="H282" s="254"/>
      <c r="I282" s="290"/>
      <c r="J282" s="244">
        <f t="shared" si="12"/>
        <v>15957000</v>
      </c>
      <c r="K282" s="244"/>
      <c r="L282" s="278"/>
    </row>
    <row r="283" spans="1:12" hidden="1" x14ac:dyDescent="0.2">
      <c r="A283" s="175"/>
      <c r="B283" s="184" t="s">
        <v>4451</v>
      </c>
      <c r="C283" s="262" t="str">
        <f>IFERROR(VLOOKUP(B283,'ПО КОРИСНИЦИМА'!$C$16:$S$1823,5,FALSE),"")</f>
        <v/>
      </c>
      <c r="D283" s="248">
        <f>SUMIF('ПО КОРИСНИЦИМА'!$G$16:$G$1823,"Свега за пројекат 2002-П2:",'ПО КОРИСНИЦИМА'!$H$16:$H$1823)</f>
        <v>0</v>
      </c>
      <c r="E283" s="248"/>
      <c r="F283" s="280"/>
      <c r="G283" s="249">
        <f>SUMIF('ПО КОРИСНИЦИМА'!$G$16:$G$1823,"Свега за пројекат 2002-П2:",'ПО КОРИСНИЦИМА'!$L$16:$L$1823)</f>
        <v>0</v>
      </c>
      <c r="H283" s="254"/>
      <c r="I283" s="290"/>
      <c r="J283" s="244">
        <f t="shared" si="12"/>
        <v>0</v>
      </c>
      <c r="K283" s="244"/>
      <c r="L283" s="278"/>
    </row>
    <row r="284" spans="1:12" hidden="1" x14ac:dyDescent="0.2">
      <c r="A284" s="175"/>
      <c r="B284" s="184" t="s">
        <v>4452</v>
      </c>
      <c r="C284" s="262" t="str">
        <f>IFERROR(VLOOKUP(B284,'ПО КОРИСНИЦИМА'!$C$16:$S$1823,5,FALSE),"")</f>
        <v/>
      </c>
      <c r="D284" s="248">
        <f>SUMIF('ПО КОРИСНИЦИМА'!$G$16:$G$1823,"Свега за пројекат 2002-П3:",'ПО КОРИСНИЦИМА'!$H$16:$H$1823)</f>
        <v>0</v>
      </c>
      <c r="E284" s="248"/>
      <c r="F284" s="280"/>
      <c r="G284" s="249">
        <f>SUMIF('ПО КОРИСНИЦИМА'!$G$16:$G$1823,"Свега за пројекат 2002-П3:",'ПО КОРИСНИЦИМА'!$L$16:$L$1823)</f>
        <v>0</v>
      </c>
      <c r="H284" s="254"/>
      <c r="I284" s="290"/>
      <c r="J284" s="244">
        <f t="shared" si="12"/>
        <v>0</v>
      </c>
      <c r="K284" s="244"/>
      <c r="L284" s="278"/>
    </row>
    <row r="285" spans="1:12" hidden="1" x14ac:dyDescent="0.2">
      <c r="A285" s="175"/>
      <c r="B285" s="184" t="s">
        <v>4453</v>
      </c>
      <c r="C285" s="262" t="str">
        <f>IFERROR(VLOOKUP(B285,'ПО КОРИСНИЦИМА'!$C$16:$S$1823,5,FALSE),"")</f>
        <v/>
      </c>
      <c r="D285" s="248">
        <f>SUMIF('ПО КОРИСНИЦИМА'!$G$16:$G$1823,"Свега за пројекат 2002-П4:",'ПО КОРИСНИЦИМА'!$H$16:$H$1823)</f>
        <v>0</v>
      </c>
      <c r="E285" s="248"/>
      <c r="F285" s="280"/>
      <c r="G285" s="249">
        <f>SUMIF('ПО КОРИСНИЦИМА'!$G$16:$G$1823,"Свега за пројекат 2002-П4:",'ПО КОРИСНИЦИМА'!$L$16:$L$1823)</f>
        <v>0</v>
      </c>
      <c r="H285" s="254"/>
      <c r="I285" s="290"/>
      <c r="J285" s="244">
        <f t="shared" si="12"/>
        <v>0</v>
      </c>
      <c r="K285" s="244"/>
      <c r="L285" s="278"/>
    </row>
    <row r="286" spans="1:12" hidden="1" x14ac:dyDescent="0.2">
      <c r="A286" s="175"/>
      <c r="B286" s="184" t="s">
        <v>4454</v>
      </c>
      <c r="C286" s="262" t="str">
        <f>IFERROR(VLOOKUP(B286,'ПО КОРИСНИЦИМА'!$C$16:$S$1823,5,FALSE),"")</f>
        <v/>
      </c>
      <c r="D286" s="248">
        <f>SUMIF('ПО КОРИСНИЦИМА'!$G$16:$G$1823,"Свега за пројекат 2002-П5:",'ПО КОРИСНИЦИМА'!$H$16:$H$1823)</f>
        <v>0</v>
      </c>
      <c r="E286" s="248"/>
      <c r="F286" s="280"/>
      <c r="G286" s="249">
        <f>SUMIF('ПО КОРИСНИЦИМА'!$G$16:$G$1823,"Свега за пројекат 2002-П5:",'ПО КОРИСНИЦИМА'!$L$16:$L$1823)</f>
        <v>0</v>
      </c>
      <c r="H286" s="254"/>
      <c r="I286" s="290"/>
      <c r="J286" s="244">
        <f t="shared" si="12"/>
        <v>0</v>
      </c>
      <c r="K286" s="244"/>
      <c r="L286" s="278"/>
    </row>
    <row r="287" spans="1:12" hidden="1" x14ac:dyDescent="0.2">
      <c r="A287" s="175"/>
      <c r="B287" s="184" t="s">
        <v>4455</v>
      </c>
      <c r="C287" s="262" t="str">
        <f>IFERROR(VLOOKUP(B287,'ПО КОРИСНИЦИМА'!$C$16:$S$1823,5,FALSE),"")</f>
        <v/>
      </c>
      <c r="D287" s="248">
        <f>SUMIF('ПО КОРИСНИЦИМА'!$G$16:$G$1823,"Свега за пројекат 2002-П6:",'ПО КОРИСНИЦИМА'!$H$16:$H$1823)</f>
        <v>0</v>
      </c>
      <c r="E287" s="248"/>
      <c r="F287" s="280"/>
      <c r="G287" s="249">
        <f>SUMIF('ПО КОРИСНИЦИМА'!$G$16:$G$1823,"Свега за пројекат 2002-П6:",'ПО КОРИСНИЦИМА'!$L$16:$L$1823)</f>
        <v>0</v>
      </c>
      <c r="H287" s="254"/>
      <c r="I287" s="290"/>
      <c r="J287" s="244">
        <f t="shared" si="12"/>
        <v>0</v>
      </c>
      <c r="K287" s="244"/>
      <c r="L287" s="278"/>
    </row>
    <row r="288" spans="1:12" hidden="1" x14ac:dyDescent="0.2">
      <c r="A288" s="175"/>
      <c r="B288" s="184" t="s">
        <v>4456</v>
      </c>
      <c r="C288" s="262" t="str">
        <f>IFERROR(VLOOKUP(B288,'ПО КОРИСНИЦИМА'!$C$16:$S$1823,5,FALSE),"")</f>
        <v/>
      </c>
      <c r="D288" s="248">
        <f>SUMIF('ПО КОРИСНИЦИМА'!$G$16:$G$1823,"Свега за пројекат 2002-П7:",'ПО КОРИСНИЦИМА'!$H$16:$H$1823)</f>
        <v>0</v>
      </c>
      <c r="E288" s="248"/>
      <c r="F288" s="280"/>
      <c r="G288" s="249">
        <f>SUMIF('ПО КОРИСНИЦИМА'!$G$16:$G$1823,"Свега за пројекат 2002-П7:",'ПО КОРИСНИЦИМА'!$L$16:$L$1823)</f>
        <v>0</v>
      </c>
      <c r="H288" s="254"/>
      <c r="I288" s="290"/>
      <c r="J288" s="244">
        <f t="shared" si="12"/>
        <v>0</v>
      </c>
      <c r="K288" s="244"/>
      <c r="L288" s="278"/>
    </row>
    <row r="289" spans="1:12" hidden="1" x14ac:dyDescent="0.2">
      <c r="A289" s="175"/>
      <c r="B289" s="184" t="s">
        <v>4457</v>
      </c>
      <c r="C289" s="262" t="str">
        <f>IFERROR(VLOOKUP(B289,'ПО КОРИСНИЦИМА'!$C$16:$S$1823,5,FALSE),"")</f>
        <v/>
      </c>
      <c r="D289" s="248">
        <f>SUMIF('ПО КОРИСНИЦИМА'!$G$16:$G$1823,"Свега за пројекат 2002-П8:",'ПО КОРИСНИЦИМА'!$H$16:$H$1823)</f>
        <v>0</v>
      </c>
      <c r="E289" s="248"/>
      <c r="F289" s="280"/>
      <c r="G289" s="249">
        <f>SUMIF('ПО КОРИСНИЦИМА'!$G$16:$G$1823,"Свега за пројекат 2002-П8:",'ПО КОРИСНИЦИМА'!$L$16:$L$1823)</f>
        <v>0</v>
      </c>
      <c r="H289" s="254"/>
      <c r="I289" s="290"/>
      <c r="J289" s="244">
        <f t="shared" si="12"/>
        <v>0</v>
      </c>
      <c r="K289" s="244"/>
      <c r="L289" s="278"/>
    </row>
    <row r="290" spans="1:12" hidden="1" x14ac:dyDescent="0.2">
      <c r="A290" s="175"/>
      <c r="B290" s="184" t="s">
        <v>4458</v>
      </c>
      <c r="C290" s="262" t="str">
        <f>IFERROR(VLOOKUP(B290,'ПО КОРИСНИЦИМА'!$C$16:$S$1823,5,FALSE),"")</f>
        <v/>
      </c>
      <c r="D290" s="248">
        <f>SUMIF('ПО КОРИСНИЦИМА'!$G$16:$G$1823,"Свега за пројекат 2002-П9:",'ПО КОРИСНИЦИМА'!$H$16:$H$1823)</f>
        <v>0</v>
      </c>
      <c r="E290" s="248"/>
      <c r="F290" s="280"/>
      <c r="G290" s="249">
        <f>SUMIF('ПО КОРИСНИЦИМА'!$G$16:$G$1823,"Свега за пројекат 2002-П9:",'ПО КОРИСНИЦИМА'!$L$16:$L$1823)</f>
        <v>0</v>
      </c>
      <c r="H290" s="254"/>
      <c r="I290" s="290"/>
      <c r="J290" s="244">
        <f t="shared" si="12"/>
        <v>0</v>
      </c>
      <c r="K290" s="244"/>
      <c r="L290" s="278"/>
    </row>
    <row r="291" spans="1:12" hidden="1" x14ac:dyDescent="0.2">
      <c r="A291" s="175"/>
      <c r="B291" s="184" t="s">
        <v>4459</v>
      </c>
      <c r="C291" s="262" t="str">
        <f>IFERROR(VLOOKUP(B291,'ПО КОРИСНИЦИМА'!$C$16:$S$1823,5,FALSE),"")</f>
        <v/>
      </c>
      <c r="D291" s="248">
        <f>SUMIF('ПО КОРИСНИЦИМА'!$G$16:$G$1823,"Свега за пројекат 2002-П10:",'ПО КОРИСНИЦИМА'!$H$16:$H$1823)</f>
        <v>0</v>
      </c>
      <c r="E291" s="248"/>
      <c r="F291" s="280"/>
      <c r="G291" s="249">
        <f>SUMIF('ПО КОРИСНИЦИМА'!$G$16:$G$1823,"Свега за пројекат 2002-П10:",'ПО КОРИСНИЦИМА'!$L$16:$L$1823)</f>
        <v>0</v>
      </c>
      <c r="H291" s="254"/>
      <c r="I291" s="290"/>
      <c r="J291" s="244">
        <f t="shared" si="12"/>
        <v>0</v>
      </c>
      <c r="K291" s="244"/>
      <c r="L291" s="278"/>
    </row>
    <row r="292" spans="1:12" hidden="1" x14ac:dyDescent="0.2">
      <c r="A292" s="175"/>
      <c r="B292" s="184" t="s">
        <v>4460</v>
      </c>
      <c r="C292" s="262" t="str">
        <f>IFERROR(VLOOKUP(B292,'ПО КОРИСНИЦИМА'!$C$16:$S$1823,5,FALSE),"")</f>
        <v/>
      </c>
      <c r="D292" s="248">
        <f>SUMIF('ПО КОРИСНИЦИМА'!$G$16:$G$1823,"Свега за пројекат 2002-П11:",'ПО КОРИСНИЦИМА'!$H$16:$H$1823)</f>
        <v>0</v>
      </c>
      <c r="E292" s="248"/>
      <c r="F292" s="280"/>
      <c r="G292" s="249">
        <f>SUMIF('ПО КОРИСНИЦИМА'!$G$16:$G$1823,"Свега за пројекат 2002-П11:",'ПО КОРИСНИЦИМА'!$L$16:$L$1823)</f>
        <v>0</v>
      </c>
      <c r="H292" s="254"/>
      <c r="I292" s="290"/>
      <c r="J292" s="244">
        <f t="shared" si="12"/>
        <v>0</v>
      </c>
      <c r="K292" s="244"/>
      <c r="L292" s="278"/>
    </row>
    <row r="293" spans="1:12" hidden="1" x14ac:dyDescent="0.2">
      <c r="A293" s="175"/>
      <c r="B293" s="184" t="s">
        <v>4461</v>
      </c>
      <c r="C293" s="262" t="str">
        <f>IFERROR(VLOOKUP(B293,'ПО КОРИСНИЦИМА'!$C$16:$S$1823,5,FALSE),"")</f>
        <v/>
      </c>
      <c r="D293" s="248">
        <f>SUMIF('ПО КОРИСНИЦИМА'!$G$16:$G$1823,"Свега за пројекат 2002-П12:",'ПО КОРИСНИЦИМА'!$H$16:$H$1823)</f>
        <v>0</v>
      </c>
      <c r="E293" s="248"/>
      <c r="F293" s="280"/>
      <c r="G293" s="249">
        <f>SUMIF('ПО КОРИСНИЦИМА'!$G$16:$G$1823,"Свега за пројекат 2002-П12:",'ПО КОРИСНИЦИМА'!$L$16:$L$1823)</f>
        <v>0</v>
      </c>
      <c r="H293" s="254"/>
      <c r="I293" s="290"/>
      <c r="J293" s="244">
        <f t="shared" si="12"/>
        <v>0</v>
      </c>
      <c r="K293" s="244"/>
      <c r="L293" s="278"/>
    </row>
    <row r="294" spans="1:12" hidden="1" x14ac:dyDescent="0.2">
      <c r="A294" s="175"/>
      <c r="B294" s="184" t="s">
        <v>4462</v>
      </c>
      <c r="C294" s="262" t="str">
        <f>IFERROR(VLOOKUP(B294,'ПО КОРИСНИЦИМА'!$C$16:$S$1823,5,FALSE),"")</f>
        <v/>
      </c>
      <c r="D294" s="248">
        <f>SUMIF('ПО КОРИСНИЦИМА'!$G$16:$G$1823,"Свега за пројекат 2002-П13:",'ПО КОРИСНИЦИМА'!$H$16:$H$1823)</f>
        <v>0</v>
      </c>
      <c r="E294" s="248"/>
      <c r="F294" s="280"/>
      <c r="G294" s="249">
        <f>SUMIF('ПО КОРИСНИЦИМА'!$G$16:$G$1823,"Свега за пројекат 2002-П13:",'ПО КОРИСНИЦИМА'!$L$16:$L$1823)</f>
        <v>0</v>
      </c>
      <c r="H294" s="254"/>
      <c r="I294" s="290"/>
      <c r="J294" s="244">
        <f t="shared" si="12"/>
        <v>0</v>
      </c>
      <c r="K294" s="244"/>
      <c r="L294" s="278"/>
    </row>
    <row r="295" spans="1:12" hidden="1" x14ac:dyDescent="0.2">
      <c r="A295" s="175"/>
      <c r="B295" s="184" t="s">
        <v>4463</v>
      </c>
      <c r="C295" s="262" t="str">
        <f>IFERROR(VLOOKUP(B295,'ПО КОРИСНИЦИМА'!$C$16:$S$1823,5,FALSE),"")</f>
        <v/>
      </c>
      <c r="D295" s="248">
        <f>SUMIF('ПО КОРИСНИЦИМА'!$G$16:$G$1823,"Свега за пројекат 2002-П14:",'ПО КОРИСНИЦИМА'!$H$16:$H$1823)</f>
        <v>0</v>
      </c>
      <c r="E295" s="248"/>
      <c r="F295" s="280"/>
      <c r="G295" s="249">
        <f>SUMIF('ПО КОРИСНИЦИМА'!$G$16:$G$1823,"Свега за пројекат 2002-П14:",'ПО КОРИСНИЦИМА'!$L$16:$L$1823)</f>
        <v>0</v>
      </c>
      <c r="H295" s="254"/>
      <c r="I295" s="290"/>
      <c r="J295" s="244">
        <f t="shared" si="12"/>
        <v>0</v>
      </c>
      <c r="K295" s="244"/>
      <c r="L295" s="278"/>
    </row>
    <row r="296" spans="1:12" hidden="1" x14ac:dyDescent="0.2">
      <c r="A296" s="175"/>
      <c r="B296" s="184" t="s">
        <v>4464</v>
      </c>
      <c r="C296" s="262" t="str">
        <f>IFERROR(VLOOKUP(B296,'ПО КОРИСНИЦИМА'!$C$16:$S$1823,5,FALSE),"")</f>
        <v/>
      </c>
      <c r="D296" s="248">
        <f>SUMIF('ПО КОРИСНИЦИМА'!$G$16:$G$1823,"Свега за пројекат 2002-П15:",'ПО КОРИСНИЦИМА'!$H$16:$H$1823)</f>
        <v>0</v>
      </c>
      <c r="E296" s="248"/>
      <c r="F296" s="280"/>
      <c r="G296" s="249">
        <f>SUMIF('ПО КОРИСНИЦИМА'!$G$16:$G$1823,"Свега за пројекат 2002-П15:",'ПО КОРИСНИЦИМА'!$L$16:$L$1823)</f>
        <v>0</v>
      </c>
      <c r="H296" s="254"/>
      <c r="I296" s="290"/>
      <c r="J296" s="244">
        <f t="shared" si="12"/>
        <v>0</v>
      </c>
      <c r="K296" s="244"/>
      <c r="L296" s="278"/>
    </row>
    <row r="297" spans="1:12" hidden="1" x14ac:dyDescent="0.2">
      <c r="A297" s="175"/>
      <c r="B297" s="184" t="s">
        <v>4465</v>
      </c>
      <c r="C297" s="262" t="str">
        <f>IFERROR(VLOOKUP(B297,'ПО КОРИСНИЦИМА'!$C$16:$S$1823,5,FALSE),"")</f>
        <v/>
      </c>
      <c r="D297" s="248">
        <f>SUMIF('ПО КОРИСНИЦИМА'!$G$16:$G$1823,"Свега за пројекат 2002-П16:",'ПО КОРИСНИЦИМА'!$H$16:$H$1823)</f>
        <v>0</v>
      </c>
      <c r="E297" s="248"/>
      <c r="F297" s="280"/>
      <c r="G297" s="249">
        <f>SUMIF('ПО КОРИСНИЦИМА'!$G$16:$G$1823,"Свега за пројекат 2002-П16:",'ПО КОРИСНИЦИМА'!$L$16:$L$1823)</f>
        <v>0</v>
      </c>
      <c r="H297" s="254"/>
      <c r="I297" s="290"/>
      <c r="J297" s="244">
        <f t="shared" si="12"/>
        <v>0</v>
      </c>
      <c r="K297" s="244"/>
      <c r="L297" s="278"/>
    </row>
    <row r="298" spans="1:12" hidden="1" x14ac:dyDescent="0.2">
      <c r="A298" s="175"/>
      <c r="B298" s="184" t="s">
        <v>4466</v>
      </c>
      <c r="C298" s="262" t="str">
        <f>IFERROR(VLOOKUP(B298,'ПО КОРИСНИЦИМА'!$C$16:$S$1823,5,FALSE),"")</f>
        <v/>
      </c>
      <c r="D298" s="248">
        <f>SUMIF('ПО КОРИСНИЦИМА'!$G$16:$G$1823,"Свега за пројекат 2002-П17:",'ПО КОРИСНИЦИМА'!$H$16:$H$1823)</f>
        <v>0</v>
      </c>
      <c r="E298" s="248"/>
      <c r="F298" s="280"/>
      <c r="G298" s="249">
        <f>SUMIF('ПО КОРИСНИЦИМА'!$G$16:$G$1823,"Свега за пројекат 2002-П17:",'ПО КОРИСНИЦИМА'!$L$16:$L$1823)</f>
        <v>0</v>
      </c>
      <c r="H298" s="254"/>
      <c r="I298" s="290"/>
      <c r="J298" s="244">
        <f t="shared" si="12"/>
        <v>0</v>
      </c>
      <c r="K298" s="244"/>
      <c r="L298" s="278"/>
    </row>
    <row r="299" spans="1:12" hidden="1" x14ac:dyDescent="0.2">
      <c r="A299" s="175"/>
      <c r="B299" s="184" t="s">
        <v>4467</v>
      </c>
      <c r="C299" s="262" t="str">
        <f>IFERROR(VLOOKUP(B299,'ПО КОРИСНИЦИМА'!$C$16:$S$1823,5,FALSE),"")</f>
        <v/>
      </c>
      <c r="D299" s="248">
        <f>SUMIF('ПО КОРИСНИЦИМА'!$G$16:$G$1823,"Свега за пројекат 2002-П18:",'ПО КОРИСНИЦИМА'!$H$16:$H$1823)</f>
        <v>0</v>
      </c>
      <c r="E299" s="248"/>
      <c r="F299" s="280"/>
      <c r="G299" s="249">
        <f>SUMIF('ПО КОРИСНИЦИМА'!$G$16:$G$1823,"Свега за пројекат 2002-П18:",'ПО КОРИСНИЦИМА'!$L$16:$L$1823)</f>
        <v>0</v>
      </c>
      <c r="H299" s="254"/>
      <c r="I299" s="290"/>
      <c r="J299" s="244">
        <f t="shared" si="12"/>
        <v>0</v>
      </c>
      <c r="K299" s="244"/>
      <c r="L299" s="278"/>
    </row>
    <row r="300" spans="1:12" hidden="1" x14ac:dyDescent="0.2">
      <c r="A300" s="175"/>
      <c r="B300" s="184" t="s">
        <v>4468</v>
      </c>
      <c r="C300" s="262" t="str">
        <f>IFERROR(VLOOKUP(B300,'ПО КОРИСНИЦИМА'!$C$16:$S$1823,5,FALSE),"")</f>
        <v/>
      </c>
      <c r="D300" s="248">
        <f>SUMIF('ПО КОРИСНИЦИМА'!$G$16:$G$1823,"Свега за пројекат 2002-П19:",'ПО КОРИСНИЦИМА'!$H$16:$H$1823)</f>
        <v>0</v>
      </c>
      <c r="E300" s="248"/>
      <c r="F300" s="280"/>
      <c r="G300" s="249">
        <f>SUMIF('ПО КОРИСНИЦИМА'!$G$16:$G$1823,"Свега за пројекат 2002-П19:",'ПО КОРИСНИЦИМА'!$L$16:$L$1823)</f>
        <v>0</v>
      </c>
      <c r="H300" s="254"/>
      <c r="I300" s="290"/>
      <c r="J300" s="244">
        <f t="shared" si="12"/>
        <v>0</v>
      </c>
      <c r="K300" s="244"/>
      <c r="L300" s="278"/>
    </row>
    <row r="301" spans="1:12" hidden="1" x14ac:dyDescent="0.2">
      <c r="A301" s="175"/>
      <c r="B301" s="184" t="s">
        <v>4469</v>
      </c>
      <c r="C301" s="262" t="str">
        <f>IFERROR(VLOOKUP(B301,'ПО КОРИСНИЦИМА'!$C$16:$S$1823,5,FALSE),"")</f>
        <v/>
      </c>
      <c r="D301" s="248">
        <f>SUMIF('ПО КОРИСНИЦИМА'!$G$16:$G$1823,"Свега за пројекат 2002-П20:",'ПО КОРИСНИЦИМА'!$H$16:$H$1823)</f>
        <v>0</v>
      </c>
      <c r="E301" s="248"/>
      <c r="F301" s="280"/>
      <c r="G301" s="249">
        <f>SUMIF('ПО КОРИСНИЦИМА'!$G$16:$G$1823,"Свега за пројекат 2002-П20:",'ПО КОРИСНИЦИМА'!$L$16:$L$1823)</f>
        <v>0</v>
      </c>
      <c r="H301" s="254"/>
      <c r="I301" s="290"/>
      <c r="J301" s="244">
        <f t="shared" si="12"/>
        <v>0</v>
      </c>
      <c r="K301" s="244"/>
      <c r="L301" s="278"/>
    </row>
    <row r="302" spans="1:12" hidden="1" x14ac:dyDescent="0.2">
      <c r="A302" s="175"/>
      <c r="B302" s="184" t="s">
        <v>4470</v>
      </c>
      <c r="C302" s="262" t="str">
        <f>IFERROR(VLOOKUP(B302,'ПО КОРИСНИЦИМА'!$C$16:$S$1823,5,FALSE),"")</f>
        <v/>
      </c>
      <c r="D302" s="248">
        <f>SUMIF('ПО КОРИСНИЦИМА'!$G$16:$G$1823,"Свега за пројекат 2002-П21:",'ПО КОРИСНИЦИМА'!$H$16:$H$1823)</f>
        <v>0</v>
      </c>
      <c r="E302" s="248"/>
      <c r="F302" s="280"/>
      <c r="G302" s="249">
        <f>SUMIF('ПО КОРИСНИЦИМА'!$G$16:$G$1823,"Свега за пројекат 2002-П21:",'ПО КОРИСНИЦИМА'!$L$16:$L$1823)</f>
        <v>0</v>
      </c>
      <c r="H302" s="254"/>
      <c r="I302" s="290"/>
      <c r="J302" s="244">
        <f t="shared" si="12"/>
        <v>0</v>
      </c>
      <c r="K302" s="244"/>
      <c r="L302" s="278"/>
    </row>
    <row r="303" spans="1:12" hidden="1" x14ac:dyDescent="0.2">
      <c r="A303" s="175"/>
      <c r="B303" s="184" t="s">
        <v>4471</v>
      </c>
      <c r="C303" s="262" t="str">
        <f>IFERROR(VLOOKUP(B303,'ПО КОРИСНИЦИМА'!$C$16:$S$1823,5,FALSE),"")</f>
        <v/>
      </c>
      <c r="D303" s="248">
        <f>SUMIF('ПО КОРИСНИЦИМА'!$G$16:$G$1823,"Свега за пројекат 2002-П22:",'ПО КОРИСНИЦИМА'!$H$16:$H$1823)</f>
        <v>0</v>
      </c>
      <c r="E303" s="248"/>
      <c r="F303" s="280"/>
      <c r="G303" s="249">
        <f>SUMIF('ПО КОРИСНИЦИМА'!$G$16:$G$1823,"Свега за пројекат 2002-П22:",'ПО КОРИСНИЦИМА'!$L$16:$L$1823)</f>
        <v>0</v>
      </c>
      <c r="H303" s="254"/>
      <c r="I303" s="290"/>
      <c r="J303" s="244">
        <f t="shared" si="12"/>
        <v>0</v>
      </c>
      <c r="K303" s="244"/>
      <c r="L303" s="278"/>
    </row>
    <row r="304" spans="1:12" hidden="1" x14ac:dyDescent="0.2">
      <c r="A304" s="175"/>
      <c r="B304" s="184" t="s">
        <v>4472</v>
      </c>
      <c r="C304" s="262" t="str">
        <f>IFERROR(VLOOKUP(B304,'ПО КОРИСНИЦИМА'!$C$16:$S$1823,5,FALSE),"")</f>
        <v/>
      </c>
      <c r="D304" s="248">
        <f>SUMIF('ПО КОРИСНИЦИМА'!$G$16:$G$1823,"Свега за пројекат 2002-П23:",'ПО КОРИСНИЦИМА'!$H$16:$H$1823)</f>
        <v>0</v>
      </c>
      <c r="E304" s="248"/>
      <c r="F304" s="280"/>
      <c r="G304" s="249">
        <f>SUMIF('ПО КОРИСНИЦИМА'!$G$16:$G$1823,"Свега за пројекат 2002-П23:",'ПО КОРИСНИЦИМА'!$L$16:$L$1823)</f>
        <v>0</v>
      </c>
      <c r="H304" s="254"/>
      <c r="I304" s="290"/>
      <c r="J304" s="244">
        <f t="shared" si="12"/>
        <v>0</v>
      </c>
      <c r="K304" s="244"/>
      <c r="L304" s="278"/>
    </row>
    <row r="305" spans="1:12" hidden="1" x14ac:dyDescent="0.2">
      <c r="A305" s="175"/>
      <c r="B305" s="184" t="s">
        <v>4473</v>
      </c>
      <c r="C305" s="262" t="str">
        <f>IFERROR(VLOOKUP(B305,'ПО КОРИСНИЦИМА'!$C$16:$S$1823,5,FALSE),"")</f>
        <v/>
      </c>
      <c r="D305" s="248">
        <f>SUMIF('ПО КОРИСНИЦИМА'!$G$16:$G$1823,"Свега за пројекат 2002-П24:",'ПО КОРИСНИЦИМА'!$H$16:$H$1823)</f>
        <v>0</v>
      </c>
      <c r="E305" s="248"/>
      <c r="F305" s="280"/>
      <c r="G305" s="249">
        <f>SUMIF('ПО КОРИСНИЦИМА'!$G$16:$G$1823,"Свега за пројекат 2002-П24:",'ПО КОРИСНИЦИМА'!$L$16:$L$1823)</f>
        <v>0</v>
      </c>
      <c r="H305" s="254"/>
      <c r="I305" s="290"/>
      <c r="J305" s="244">
        <f t="shared" si="12"/>
        <v>0</v>
      </c>
      <c r="K305" s="244"/>
      <c r="L305" s="278"/>
    </row>
    <row r="306" spans="1:12" hidden="1" x14ac:dyDescent="0.2">
      <c r="A306" s="175"/>
      <c r="B306" s="184" t="s">
        <v>4474</v>
      </c>
      <c r="C306" s="262" t="str">
        <f>IFERROR(VLOOKUP(B306,'ПО КОРИСНИЦИМА'!$C$16:$S$1823,5,FALSE),"")</f>
        <v/>
      </c>
      <c r="D306" s="248">
        <f>SUMIF('ПО КОРИСНИЦИМА'!$G$16:$G$1823,"Свега за пројекат 2002-П25:",'ПО КОРИСНИЦИМА'!$H$16:$H$1823)</f>
        <v>0</v>
      </c>
      <c r="E306" s="248"/>
      <c r="F306" s="280"/>
      <c r="G306" s="249">
        <f>SUMIF('ПО КОРИСНИЦИМА'!$G$16:$G$1823,"Свега за пројекат 2002-П25:",'ПО КОРИСНИЦИМА'!$L$16:$L$1823)</f>
        <v>0</v>
      </c>
      <c r="H306" s="254"/>
      <c r="I306" s="290"/>
      <c r="J306" s="244">
        <f t="shared" si="12"/>
        <v>0</v>
      </c>
      <c r="K306" s="244"/>
      <c r="L306" s="278"/>
    </row>
    <row r="307" spans="1:12" hidden="1" x14ac:dyDescent="0.2">
      <c r="A307" s="182"/>
      <c r="B307" s="184" t="s">
        <v>4475</v>
      </c>
      <c r="C307" s="262" t="str">
        <f>IFERROR(VLOOKUP(B307,'ПО КОРИСНИЦИМА'!$C$16:$S$1823,5,FALSE),"")</f>
        <v/>
      </c>
      <c r="D307" s="248">
        <f>SUMIF('ПО КОРИСНИЦИМА'!$G$16:$G$1823,"Свега за пројекат 2002-П26:",'ПО КОРИСНИЦИМА'!$H$16:$H$1823)</f>
        <v>0</v>
      </c>
      <c r="E307" s="248"/>
      <c r="F307" s="280"/>
      <c r="G307" s="249">
        <f>SUMIF('ПО КОРИСНИЦИМА'!$G$16:$G$1823,"Свега за пројекат 2002-П26:",'ПО КОРИСНИЦИМА'!$L$16:$L$1823)</f>
        <v>0</v>
      </c>
      <c r="H307" s="254"/>
      <c r="I307" s="290"/>
      <c r="J307" s="244">
        <f t="shared" si="12"/>
        <v>0</v>
      </c>
      <c r="K307" s="244"/>
      <c r="L307" s="278"/>
    </row>
    <row r="308" spans="1:12" hidden="1" x14ac:dyDescent="0.2">
      <c r="A308" s="182"/>
      <c r="B308" s="184" t="s">
        <v>4476</v>
      </c>
      <c r="C308" s="262" t="str">
        <f>IFERROR(VLOOKUP(B308,'ПО КОРИСНИЦИМА'!$C$16:$S$1823,5,FALSE),"")</f>
        <v/>
      </c>
      <c r="D308" s="248">
        <f>SUMIF('ПО КОРИСНИЦИМА'!$G$16:$G$1823,"Свега за пројекат 2002-П27:",'ПО КОРИСНИЦИМА'!$H$16:$H$1823)</f>
        <v>0</v>
      </c>
      <c r="E308" s="248"/>
      <c r="F308" s="280"/>
      <c r="G308" s="249">
        <f>SUMIF('ПО КОРИСНИЦИМА'!$G$16:$G$1823,"Свега за пројекат 2002-П27:",'ПО КОРИСНИЦИМА'!$L$16:$L$1823)</f>
        <v>0</v>
      </c>
      <c r="H308" s="254"/>
      <c r="I308" s="290"/>
      <c r="J308" s="244">
        <f t="shared" si="12"/>
        <v>0</v>
      </c>
      <c r="K308" s="244"/>
      <c r="L308" s="278"/>
    </row>
    <row r="309" spans="1:12" hidden="1" x14ac:dyDescent="0.2">
      <c r="A309" s="182"/>
      <c r="B309" s="184" t="s">
        <v>4477</v>
      </c>
      <c r="C309" s="262" t="str">
        <f>IFERROR(VLOOKUP(B309,'ПО КОРИСНИЦИМА'!$C$16:$S$1823,5,FALSE),"")</f>
        <v/>
      </c>
      <c r="D309" s="248">
        <f>SUMIF('ПО КОРИСНИЦИМА'!$G$16:$G$1823,"Свега за пројекат 2002-П28:",'ПО КОРИСНИЦИМА'!$H$16:$H$1823)</f>
        <v>0</v>
      </c>
      <c r="E309" s="248"/>
      <c r="F309" s="280"/>
      <c r="G309" s="249">
        <f>SUMIF('ПО КОРИСНИЦИМА'!$G$16:$G$1823,"Свега за пројекат 2002-П28:",'ПО КОРИСНИЦИМА'!$L$16:$L$1823)</f>
        <v>0</v>
      </c>
      <c r="H309" s="254"/>
      <c r="I309" s="290"/>
      <c r="J309" s="244">
        <f t="shared" si="12"/>
        <v>0</v>
      </c>
      <c r="K309" s="244"/>
      <c r="L309" s="278"/>
    </row>
    <row r="310" spans="1:12" hidden="1" x14ac:dyDescent="0.2">
      <c r="A310" s="182"/>
      <c r="B310" s="184" t="s">
        <v>4478</v>
      </c>
      <c r="C310" s="262" t="str">
        <f>IFERROR(VLOOKUP(B310,'ПО КОРИСНИЦИМА'!$C$16:$S$1823,5,FALSE),"")</f>
        <v/>
      </c>
      <c r="D310" s="248">
        <f>SUMIF('ПО КОРИСНИЦИМА'!$G$16:$G$1823,"Свега за пројекат 2002-П29:",'ПО КОРИСНИЦИМА'!$H$16:$H$1823)</f>
        <v>0</v>
      </c>
      <c r="E310" s="248"/>
      <c r="F310" s="280"/>
      <c r="G310" s="249">
        <f>SUMIF('ПО КОРИСНИЦИМА'!$G$16:$G$1823,"Свега за пројекат 2002-П29:",'ПО КОРИСНИЦИМА'!$L$16:$L$1823)</f>
        <v>0</v>
      </c>
      <c r="H310" s="254"/>
      <c r="I310" s="290"/>
      <c r="J310" s="244">
        <f t="shared" si="12"/>
        <v>0</v>
      </c>
      <c r="K310" s="244"/>
      <c r="L310" s="278"/>
    </row>
    <row r="311" spans="1:12" hidden="1" x14ac:dyDescent="0.2">
      <c r="A311" s="183"/>
      <c r="B311" s="184" t="s">
        <v>4479</v>
      </c>
      <c r="C311" s="262" t="str">
        <f>IFERROR(VLOOKUP(B311,'ПО КОРИСНИЦИМА'!$C$16:$S$1823,5,FALSE),"")</f>
        <v/>
      </c>
      <c r="D311" s="248">
        <f>SUMIF('ПО КОРИСНИЦИМА'!$G$16:$G$1823,"Свега за пројекат 2002-П30:",'ПО КОРИСНИЦИМА'!$H$16:$H$1823)</f>
        <v>0</v>
      </c>
      <c r="E311" s="248"/>
      <c r="F311" s="280"/>
      <c r="G311" s="249">
        <f>SUMIF('ПО КОРИСНИЦИМА'!$G$16:$G$1823,"Свега за пројекат 2002-П30:",'ПО КОРИСНИЦИМА'!$L$16:$L$1823)</f>
        <v>0</v>
      </c>
      <c r="H311" s="254"/>
      <c r="I311" s="290"/>
      <c r="J311" s="244">
        <f t="shared" si="12"/>
        <v>0</v>
      </c>
      <c r="K311" s="273"/>
      <c r="L311" s="296"/>
    </row>
    <row r="312" spans="1:12" s="180" customFormat="1" ht="25.5" x14ac:dyDescent="0.2">
      <c r="A312" s="173" t="s">
        <v>3588</v>
      </c>
      <c r="B312" s="174"/>
      <c r="C312" s="260" t="s">
        <v>5287</v>
      </c>
      <c r="D312" s="242">
        <f>SUM(D313:D343)</f>
        <v>14320000</v>
      </c>
      <c r="E312" s="242">
        <f>SUM(E313)</f>
        <v>5655338.7200000007</v>
      </c>
      <c r="F312" s="282">
        <f>E312/D312</f>
        <v>0.39492588826815644</v>
      </c>
      <c r="G312" s="243">
        <f>SUM(G313:G343)</f>
        <v>0</v>
      </c>
      <c r="H312" s="243">
        <f>SUM(H313:H343)</f>
        <v>0</v>
      </c>
      <c r="I312" s="289"/>
      <c r="J312" s="242">
        <f t="shared" si="12"/>
        <v>14320000</v>
      </c>
      <c r="K312" s="242">
        <f>E312+H312</f>
        <v>5655338.7200000007</v>
      </c>
      <c r="L312" s="282">
        <f>K312/J312</f>
        <v>0.39492588826815644</v>
      </c>
    </row>
    <row r="313" spans="1:12" x14ac:dyDescent="0.2">
      <c r="A313" s="176"/>
      <c r="B313" s="184" t="s">
        <v>4186</v>
      </c>
      <c r="C313" s="267" t="s">
        <v>4064</v>
      </c>
      <c r="D313" s="244">
        <f>SUMIF('ПО КОРИСНИЦИМА'!$G$16:$G$1823,"Свега за програмску активност 2003-0001:",'ПО КОРИСНИЦИМА'!$H$16:$H$1823)</f>
        <v>10000000</v>
      </c>
      <c r="E313" s="244">
        <f>SUMIF('ПО КОРИСНИЦИМА'!$G$16:$G$1823,"Свега за програмску активност 2003-0001:",'ПО КОРИСНИЦИМА'!$I$16:$I$1823)</f>
        <v>5655338.7200000007</v>
      </c>
      <c r="F313" s="278">
        <f>E313/D313</f>
        <v>0.56553387200000005</v>
      </c>
      <c r="G313" s="245">
        <f>SUMIF('ПО КОРИСНИЦИМА'!$G$16:$G$1823,"Свега за програмску активност 2003-0001:",'ПО КОРИСНИЦИМА'!$L$16:$L$1823)</f>
        <v>0</v>
      </c>
      <c r="H313" s="245">
        <f>SUMIF('ПО КОРИСНИЦИМА'!$G$16:$G$1823,"Свега за програмску активност 2003-0001:",'ПО КОРИСНИЦИМА'!$M$16:$M$1823)</f>
        <v>0</v>
      </c>
      <c r="I313" s="285"/>
      <c r="J313" s="244">
        <f t="shared" si="12"/>
        <v>10000000</v>
      </c>
      <c r="K313" s="244">
        <f>E313+H313</f>
        <v>5655338.7200000007</v>
      </c>
      <c r="L313" s="278">
        <f>K313/J313</f>
        <v>0.56553387200000005</v>
      </c>
    </row>
    <row r="314" spans="1:12" ht="13.5" customHeight="1" x14ac:dyDescent="0.2">
      <c r="A314" s="182"/>
      <c r="B314" s="185" t="s">
        <v>4480</v>
      </c>
      <c r="C314" s="610" t="str">
        <f>IFERROR(VLOOKUP(B314,'ПО КОРИСНИЦИМА'!$C$16:$S$1823,5,FALSE),"")</f>
        <v>Превоз ученика средње школе</v>
      </c>
      <c r="D314" s="248">
        <f>SUMIF('ПО КОРИСНИЦИМА'!$G$16:$G$1823,"Свега за пројекат 2003-П1:",'ПО КОРИСНИЦИМА'!$H$16:$H$1823)</f>
        <v>4320000</v>
      </c>
      <c r="E314" s="248">
        <f>SUMIF('ПО КОРИСНИЦИМА'!$G$16:$G$1823,"Свега за пројекат 2003-П1:",'ПО КОРИСНИЦИМА'!$I$16:$I$1823)</f>
        <v>0</v>
      </c>
      <c r="F314" s="280">
        <f>E314/D314</f>
        <v>0</v>
      </c>
      <c r="G314" s="249">
        <v>0</v>
      </c>
      <c r="H314" s="254">
        <v>0</v>
      </c>
      <c r="I314" s="290"/>
      <c r="J314" s="244">
        <f t="shared" si="12"/>
        <v>4320000</v>
      </c>
      <c r="K314" s="244">
        <f>E314+H314</f>
        <v>0</v>
      </c>
      <c r="L314" s="278">
        <f>K314/J314</f>
        <v>0</v>
      </c>
    </row>
    <row r="315" spans="1:12" hidden="1" x14ac:dyDescent="0.2">
      <c r="A315" s="182"/>
      <c r="B315" s="182" t="s">
        <v>4481</v>
      </c>
      <c r="C315" s="262" t="str">
        <f>IFERROR(VLOOKUP(B315,'ПО КОРИСНИЦИМА'!$C$16:$S$1823,5,FALSE),"")</f>
        <v/>
      </c>
      <c r="D315" s="248">
        <f>SUMIF('ПО КОРИСНИЦИМА'!$G$16:$G$1823,"Свега за пројекат 2003-П2:",'ПО КОРИСНИЦИМА'!$H$16:$H$1823)</f>
        <v>0</v>
      </c>
      <c r="E315" s="248"/>
      <c r="F315" s="280"/>
      <c r="G315" s="249">
        <f>SUMIF('ПО КОРИСНИЦИМА'!$G$16:$G$1823,"Свега за пројекат 2003-П2:",'ПО КОРИСНИЦИМА'!$L$16:$L$1823)</f>
        <v>0</v>
      </c>
      <c r="H315" s="254"/>
      <c r="I315" s="290"/>
      <c r="J315" s="244">
        <f t="shared" si="12"/>
        <v>0</v>
      </c>
      <c r="K315" s="244"/>
      <c r="L315" s="278"/>
    </row>
    <row r="316" spans="1:12" hidden="1" x14ac:dyDescent="0.2">
      <c r="A316" s="182"/>
      <c r="B316" s="182" t="s">
        <v>4482</v>
      </c>
      <c r="C316" s="262" t="str">
        <f>IFERROR(VLOOKUP(B316,'ПО КОРИСНИЦИМА'!$C$16:$S$1823,5,FALSE),"")</f>
        <v/>
      </c>
      <c r="D316" s="248">
        <f>SUMIF('ПО КОРИСНИЦИМА'!$G$16:$G$1823,"Свега за пројекат 2003-П3:",'ПО КОРИСНИЦИМА'!$H$16:$H$1823)</f>
        <v>0</v>
      </c>
      <c r="E316" s="248"/>
      <c r="F316" s="280"/>
      <c r="G316" s="249">
        <f>SUMIF('ПО КОРИСНИЦИМА'!$G$16:$G$1823,"Свега за пројекат 2003-П3:",'ПО КОРИСНИЦИМА'!$L$16:$L$1823)</f>
        <v>0</v>
      </c>
      <c r="H316" s="254"/>
      <c r="I316" s="290"/>
      <c r="J316" s="244">
        <f t="shared" ref="J316:J381" si="13">D316+G316</f>
        <v>0</v>
      </c>
      <c r="K316" s="244"/>
      <c r="L316" s="278"/>
    </row>
    <row r="317" spans="1:12" hidden="1" x14ac:dyDescent="0.2">
      <c r="A317" s="182"/>
      <c r="B317" s="182" t="s">
        <v>4483</v>
      </c>
      <c r="C317" s="262" t="str">
        <f>IFERROR(VLOOKUP(B317,'ПО КОРИСНИЦИМА'!$C$16:$S$1823,5,FALSE),"")</f>
        <v/>
      </c>
      <c r="D317" s="248">
        <f>SUMIF('ПО КОРИСНИЦИМА'!$G$16:$G$1823,"Свега за пројекат 2003-П4:",'ПО КОРИСНИЦИМА'!$H$16:$H$1823)</f>
        <v>0</v>
      </c>
      <c r="E317" s="248"/>
      <c r="F317" s="280"/>
      <c r="G317" s="249">
        <f>SUMIF('ПО КОРИСНИЦИМА'!$G$16:$G$1823,"Свега за пројекат 2003-П4:",'ПО КОРИСНИЦИМА'!$L$16:$L$1823)</f>
        <v>0</v>
      </c>
      <c r="H317" s="254"/>
      <c r="I317" s="290"/>
      <c r="J317" s="244">
        <f t="shared" si="13"/>
        <v>0</v>
      </c>
      <c r="K317" s="244"/>
      <c r="L317" s="278"/>
    </row>
    <row r="318" spans="1:12" hidden="1" x14ac:dyDescent="0.2">
      <c r="A318" s="182"/>
      <c r="B318" s="182" t="s">
        <v>4484</v>
      </c>
      <c r="C318" s="262" t="str">
        <f>IFERROR(VLOOKUP(B318,'ПО КОРИСНИЦИМА'!$C$16:$S$1823,5,FALSE),"")</f>
        <v/>
      </c>
      <c r="D318" s="248">
        <f>SUMIF('ПО КОРИСНИЦИМА'!$G$16:$G$1823,"Свега за пројекат 2003-П5:",'ПО КОРИСНИЦИМА'!$H$16:$H$1823)</f>
        <v>0</v>
      </c>
      <c r="E318" s="248"/>
      <c r="F318" s="280"/>
      <c r="G318" s="249">
        <f>SUMIF('ПО КОРИСНИЦИМА'!$G$16:$G$1823,"Свега за пројекат 2003-П5:",'ПО КОРИСНИЦИМА'!$L$16:$L$1823)</f>
        <v>0</v>
      </c>
      <c r="H318" s="254"/>
      <c r="I318" s="290"/>
      <c r="J318" s="244">
        <f t="shared" si="13"/>
        <v>0</v>
      </c>
      <c r="K318" s="244"/>
      <c r="L318" s="278"/>
    </row>
    <row r="319" spans="1:12" hidden="1" x14ac:dyDescent="0.2">
      <c r="A319" s="182"/>
      <c r="B319" s="182" t="s">
        <v>4485</v>
      </c>
      <c r="C319" s="262" t="str">
        <f>IFERROR(VLOOKUP(B319,'ПО КОРИСНИЦИМА'!$C$16:$S$1823,5,FALSE),"")</f>
        <v/>
      </c>
      <c r="D319" s="248">
        <f>SUMIF('ПО КОРИСНИЦИМА'!$G$16:$G$1823,"Свега за пројекат 2003-П6:",'ПО КОРИСНИЦИМА'!$H$16:$H$1823)</f>
        <v>0</v>
      </c>
      <c r="E319" s="248"/>
      <c r="F319" s="280"/>
      <c r="G319" s="249">
        <f>SUMIF('ПО КОРИСНИЦИМА'!$G$16:$G$1823,"Свега за пројекат 2003-П6:",'ПО КОРИСНИЦИМА'!$L$16:$L$1823)</f>
        <v>0</v>
      </c>
      <c r="H319" s="254"/>
      <c r="I319" s="290"/>
      <c r="J319" s="244">
        <f t="shared" si="13"/>
        <v>0</v>
      </c>
      <c r="K319" s="244"/>
      <c r="L319" s="278"/>
    </row>
    <row r="320" spans="1:12" hidden="1" x14ac:dyDescent="0.2">
      <c r="A320" s="182"/>
      <c r="B320" s="182" t="s">
        <v>4486</v>
      </c>
      <c r="C320" s="262" t="str">
        <f>IFERROR(VLOOKUP(B320,'ПО КОРИСНИЦИМА'!$C$16:$S$1823,5,FALSE),"")</f>
        <v/>
      </c>
      <c r="D320" s="248">
        <f>SUMIF('ПО КОРИСНИЦИМА'!$G$16:$G$1823,"Свега за пројекат 2003-П7:",'ПО КОРИСНИЦИМА'!$H$16:$H$1823)</f>
        <v>0</v>
      </c>
      <c r="E320" s="248"/>
      <c r="F320" s="280"/>
      <c r="G320" s="249">
        <f>SUMIF('ПО КОРИСНИЦИМА'!$G$16:$G$1823,"Свега за пројекат 2003-П7:",'ПО КОРИСНИЦИМА'!$L$16:$L$1823)</f>
        <v>0</v>
      </c>
      <c r="H320" s="254"/>
      <c r="I320" s="290"/>
      <c r="J320" s="244">
        <f t="shared" si="13"/>
        <v>0</v>
      </c>
      <c r="K320" s="244"/>
      <c r="L320" s="278"/>
    </row>
    <row r="321" spans="1:12" hidden="1" x14ac:dyDescent="0.2">
      <c r="A321" s="182"/>
      <c r="B321" s="182" t="s">
        <v>4487</v>
      </c>
      <c r="C321" s="262" t="str">
        <f>IFERROR(VLOOKUP(B321,'ПО КОРИСНИЦИМА'!$C$16:$S$1823,5,FALSE),"")</f>
        <v/>
      </c>
      <c r="D321" s="248">
        <f>SUMIF('ПО КОРИСНИЦИМА'!$G$16:$G$1823,"Свега за пројекат 2003-П8:",'ПО КОРИСНИЦИМА'!$H$16:$H$1823)</f>
        <v>0</v>
      </c>
      <c r="E321" s="248"/>
      <c r="F321" s="280"/>
      <c r="G321" s="249">
        <f>SUMIF('ПО КОРИСНИЦИМА'!$G$16:$G$1823,"Свега за пројекат 2003-П8:",'ПО КОРИСНИЦИМА'!$L$16:$L$1823)</f>
        <v>0</v>
      </c>
      <c r="H321" s="254"/>
      <c r="I321" s="290"/>
      <c r="J321" s="244">
        <f t="shared" si="13"/>
        <v>0</v>
      </c>
      <c r="K321" s="244"/>
      <c r="L321" s="278"/>
    </row>
    <row r="322" spans="1:12" hidden="1" x14ac:dyDescent="0.2">
      <c r="A322" s="182"/>
      <c r="B322" s="182" t="s">
        <v>4488</v>
      </c>
      <c r="C322" s="262" t="str">
        <f>IFERROR(VLOOKUP(B322,'ПО КОРИСНИЦИМА'!$C$16:$S$1823,5,FALSE),"")</f>
        <v/>
      </c>
      <c r="D322" s="248">
        <f>SUMIF('ПО КОРИСНИЦИМА'!$G$16:$G$1823,"Свега за пројекат 2003-П9:",'ПО КОРИСНИЦИМА'!$H$16:$H$1823)</f>
        <v>0</v>
      </c>
      <c r="E322" s="248"/>
      <c r="F322" s="280"/>
      <c r="G322" s="249">
        <f>SUMIF('ПО КОРИСНИЦИМА'!$G$16:$G$1823,"Свега за пројекат 2003-П9:",'ПО КОРИСНИЦИМА'!$L$16:$L$1823)</f>
        <v>0</v>
      </c>
      <c r="H322" s="254"/>
      <c r="I322" s="290"/>
      <c r="J322" s="244">
        <f t="shared" si="13"/>
        <v>0</v>
      </c>
      <c r="K322" s="244"/>
      <c r="L322" s="278"/>
    </row>
    <row r="323" spans="1:12" hidden="1" x14ac:dyDescent="0.2">
      <c r="A323" s="182"/>
      <c r="B323" s="182" t="s">
        <v>4489</v>
      </c>
      <c r="C323" s="262" t="str">
        <f>IFERROR(VLOOKUP(B323,'ПО КОРИСНИЦИМА'!$C$16:$S$1823,5,FALSE),"")</f>
        <v/>
      </c>
      <c r="D323" s="248">
        <f>SUMIF('ПО КОРИСНИЦИМА'!$G$16:$G$1823,"Свега за пројекат 2003-П10:",'ПО КОРИСНИЦИМА'!$H$16:$H$1823)</f>
        <v>0</v>
      </c>
      <c r="E323" s="248"/>
      <c r="F323" s="280"/>
      <c r="G323" s="249">
        <f>SUMIF('ПО КОРИСНИЦИМА'!$G$16:$G$1823,"Свега за пројекат 2003-П10:",'ПО КОРИСНИЦИМА'!$L$16:$L$1823)</f>
        <v>0</v>
      </c>
      <c r="H323" s="254"/>
      <c r="I323" s="290"/>
      <c r="J323" s="244">
        <f t="shared" si="13"/>
        <v>0</v>
      </c>
      <c r="K323" s="244"/>
      <c r="L323" s="278"/>
    </row>
    <row r="324" spans="1:12" hidden="1" x14ac:dyDescent="0.2">
      <c r="A324" s="182"/>
      <c r="B324" s="182" t="s">
        <v>4490</v>
      </c>
      <c r="C324" s="262" t="str">
        <f>IFERROR(VLOOKUP(B324,'ПО КОРИСНИЦИМА'!$C$16:$S$1823,5,FALSE),"")</f>
        <v/>
      </c>
      <c r="D324" s="248">
        <f>SUMIF('ПО КОРИСНИЦИМА'!$G$16:$G$1823,"Свега за пројекат 2003-П11:",'ПО КОРИСНИЦИМА'!$H$16:$H$1823)</f>
        <v>0</v>
      </c>
      <c r="E324" s="248"/>
      <c r="F324" s="280"/>
      <c r="G324" s="249">
        <f>SUMIF('ПО КОРИСНИЦИМА'!$G$16:$G$1823,"Свега за пројекат 2003-П11:",'ПО КОРИСНИЦИМА'!$L$16:$L$1823)</f>
        <v>0</v>
      </c>
      <c r="H324" s="254"/>
      <c r="I324" s="290"/>
      <c r="J324" s="244">
        <f t="shared" si="13"/>
        <v>0</v>
      </c>
      <c r="K324" s="244"/>
      <c r="L324" s="278"/>
    </row>
    <row r="325" spans="1:12" hidden="1" x14ac:dyDescent="0.2">
      <c r="A325" s="182"/>
      <c r="B325" s="182" t="s">
        <v>4491</v>
      </c>
      <c r="C325" s="262" t="str">
        <f>IFERROR(VLOOKUP(B325,'ПО КОРИСНИЦИМА'!$C$16:$S$1823,5,FALSE),"")</f>
        <v/>
      </c>
      <c r="D325" s="248">
        <f>SUMIF('ПО КОРИСНИЦИМА'!$G$16:$G$1823,"Свега за пројекат 2003-П12:",'ПО КОРИСНИЦИМА'!$H$16:$H$1823)</f>
        <v>0</v>
      </c>
      <c r="E325" s="248"/>
      <c r="F325" s="280"/>
      <c r="G325" s="249">
        <f>SUMIF('ПО КОРИСНИЦИМА'!$G$16:$G$1823,"Свега за пројекат 2003-П12:",'ПО КОРИСНИЦИМА'!$L$16:$L$1823)</f>
        <v>0</v>
      </c>
      <c r="H325" s="254"/>
      <c r="I325" s="290"/>
      <c r="J325" s="244">
        <f t="shared" si="13"/>
        <v>0</v>
      </c>
      <c r="K325" s="244"/>
      <c r="L325" s="278"/>
    </row>
    <row r="326" spans="1:12" hidden="1" x14ac:dyDescent="0.2">
      <c r="A326" s="182"/>
      <c r="B326" s="182" t="s">
        <v>4492</v>
      </c>
      <c r="C326" s="262" t="str">
        <f>IFERROR(VLOOKUP(B326,'ПО КОРИСНИЦИМА'!$C$16:$S$1823,5,FALSE),"")</f>
        <v/>
      </c>
      <c r="D326" s="248">
        <f>SUMIF('ПО КОРИСНИЦИМА'!$G$16:$G$1823,"Свега за пројекат 2003-П13:",'ПО КОРИСНИЦИМА'!$H$16:$H$1823)</f>
        <v>0</v>
      </c>
      <c r="E326" s="248"/>
      <c r="F326" s="280"/>
      <c r="G326" s="249">
        <f>SUMIF('ПО КОРИСНИЦИМА'!$G$16:$G$1823,"Свега за пројекат 2003-П13:",'ПО КОРИСНИЦИМА'!$L$16:$L$1823)</f>
        <v>0</v>
      </c>
      <c r="H326" s="254"/>
      <c r="I326" s="290"/>
      <c r="J326" s="244">
        <f t="shared" si="13"/>
        <v>0</v>
      </c>
      <c r="K326" s="244"/>
      <c r="L326" s="278"/>
    </row>
    <row r="327" spans="1:12" hidden="1" x14ac:dyDescent="0.2">
      <c r="A327" s="182"/>
      <c r="B327" s="182" t="s">
        <v>4493</v>
      </c>
      <c r="C327" s="262" t="str">
        <f>IFERROR(VLOOKUP(B327,'ПО КОРИСНИЦИМА'!$C$16:$S$1823,5,FALSE),"")</f>
        <v/>
      </c>
      <c r="D327" s="248">
        <f>SUMIF('ПО КОРИСНИЦИМА'!$G$16:$G$1823,"Свега за пројекат 2003-П14:",'ПО КОРИСНИЦИМА'!$H$16:$H$1823)</f>
        <v>0</v>
      </c>
      <c r="E327" s="248"/>
      <c r="F327" s="280"/>
      <c r="G327" s="249">
        <f>SUMIF('ПО КОРИСНИЦИМА'!$G$16:$G$1823,"Свега за пројекат 2003-П14:",'ПО КОРИСНИЦИМА'!$L$16:$L$1823)</f>
        <v>0</v>
      </c>
      <c r="H327" s="254"/>
      <c r="I327" s="290"/>
      <c r="J327" s="244">
        <f t="shared" si="13"/>
        <v>0</v>
      </c>
      <c r="K327" s="244"/>
      <c r="L327" s="278"/>
    </row>
    <row r="328" spans="1:12" hidden="1" x14ac:dyDescent="0.2">
      <c r="A328" s="182"/>
      <c r="B328" s="182" t="s">
        <v>4494</v>
      </c>
      <c r="C328" s="262" t="str">
        <f>IFERROR(VLOOKUP(B328,'ПО КОРИСНИЦИМА'!$C$16:$S$1823,5,FALSE),"")</f>
        <v/>
      </c>
      <c r="D328" s="248">
        <f>SUMIF('ПО КОРИСНИЦИМА'!$G$16:$G$1823,"Свега за пројекат 2003-П15:",'ПО КОРИСНИЦИМА'!$H$16:$H$1823)</f>
        <v>0</v>
      </c>
      <c r="E328" s="248"/>
      <c r="F328" s="280"/>
      <c r="G328" s="249">
        <f>SUMIF('ПО КОРИСНИЦИМА'!$G$16:$G$1823,"Свега за пројекат 2003-П15:",'ПО КОРИСНИЦИМА'!$L$16:$L$1823)</f>
        <v>0</v>
      </c>
      <c r="H328" s="254"/>
      <c r="I328" s="290"/>
      <c r="J328" s="244">
        <f t="shared" si="13"/>
        <v>0</v>
      </c>
      <c r="K328" s="244"/>
      <c r="L328" s="278"/>
    </row>
    <row r="329" spans="1:12" hidden="1" x14ac:dyDescent="0.2">
      <c r="A329" s="182"/>
      <c r="B329" s="182" t="s">
        <v>4495</v>
      </c>
      <c r="C329" s="262" t="str">
        <f>IFERROR(VLOOKUP(B329,'ПО КОРИСНИЦИМА'!$C$16:$S$1823,5,FALSE),"")</f>
        <v/>
      </c>
      <c r="D329" s="248">
        <f>SUMIF('ПО КОРИСНИЦИМА'!$G$16:$G$1823,"Свега за пројекат 2003-П16:",'ПО КОРИСНИЦИМА'!$H$16:$H$1823)</f>
        <v>0</v>
      </c>
      <c r="E329" s="248"/>
      <c r="F329" s="280"/>
      <c r="G329" s="249">
        <f>SUMIF('ПО КОРИСНИЦИМА'!$G$16:$G$1823,"Свега за пројекат 2003-П16:",'ПО КОРИСНИЦИМА'!$L$16:$L$1823)</f>
        <v>0</v>
      </c>
      <c r="H329" s="254"/>
      <c r="I329" s="290"/>
      <c r="J329" s="244">
        <f t="shared" si="13"/>
        <v>0</v>
      </c>
      <c r="K329" s="244"/>
      <c r="L329" s="278"/>
    </row>
    <row r="330" spans="1:12" hidden="1" x14ac:dyDescent="0.2">
      <c r="A330" s="182"/>
      <c r="B330" s="182" t="s">
        <v>4496</v>
      </c>
      <c r="C330" s="262" t="str">
        <f>IFERROR(VLOOKUP(B330,'ПО КОРИСНИЦИМА'!$C$16:$S$1823,5,FALSE),"")</f>
        <v/>
      </c>
      <c r="D330" s="248">
        <f>SUMIF('ПО КОРИСНИЦИМА'!$G$16:$G$1823,"Свега за пројекат 2003-П17:",'ПО КОРИСНИЦИМА'!$H$16:$H$1823)</f>
        <v>0</v>
      </c>
      <c r="E330" s="248"/>
      <c r="F330" s="280"/>
      <c r="G330" s="249">
        <f>SUMIF('ПО КОРИСНИЦИМА'!$G$16:$G$1823,"Свега за пројекат 2003-П17:",'ПО КОРИСНИЦИМА'!$L$16:$L$1823)</f>
        <v>0</v>
      </c>
      <c r="H330" s="254"/>
      <c r="I330" s="290"/>
      <c r="J330" s="244">
        <f t="shared" si="13"/>
        <v>0</v>
      </c>
      <c r="K330" s="244"/>
      <c r="L330" s="278"/>
    </row>
    <row r="331" spans="1:12" hidden="1" x14ac:dyDescent="0.2">
      <c r="A331" s="182"/>
      <c r="B331" s="182" t="s">
        <v>4497</v>
      </c>
      <c r="C331" s="262" t="str">
        <f>IFERROR(VLOOKUP(B331,'ПО КОРИСНИЦИМА'!$C$16:$S$1823,5,FALSE),"")</f>
        <v/>
      </c>
      <c r="D331" s="248">
        <f>SUMIF('ПО КОРИСНИЦИМА'!$G$16:$G$1823,"Свега за пројекат 2003-П18:",'ПО КОРИСНИЦИМА'!$H$16:$H$1823)</f>
        <v>0</v>
      </c>
      <c r="E331" s="248"/>
      <c r="F331" s="280"/>
      <c r="G331" s="249">
        <f>SUMIF('ПО КОРИСНИЦИМА'!$G$16:$G$1823,"Свега за пројекат 2003-П18:",'ПО КОРИСНИЦИМА'!$L$16:$L$1823)</f>
        <v>0</v>
      </c>
      <c r="H331" s="254"/>
      <c r="I331" s="290"/>
      <c r="J331" s="244">
        <f t="shared" si="13"/>
        <v>0</v>
      </c>
      <c r="K331" s="244"/>
      <c r="L331" s="278"/>
    </row>
    <row r="332" spans="1:12" hidden="1" x14ac:dyDescent="0.2">
      <c r="A332" s="182"/>
      <c r="B332" s="182" t="s">
        <v>4498</v>
      </c>
      <c r="C332" s="262" t="str">
        <f>IFERROR(VLOOKUP(B332,'ПО КОРИСНИЦИМА'!$C$16:$S$1823,5,FALSE),"")</f>
        <v/>
      </c>
      <c r="D332" s="248">
        <f>SUMIF('ПО КОРИСНИЦИМА'!$G$16:$G$1823,"Свега за пројекат 2003-П19:",'ПО КОРИСНИЦИМА'!$H$16:$H$1823)</f>
        <v>0</v>
      </c>
      <c r="E332" s="248"/>
      <c r="F332" s="280"/>
      <c r="G332" s="249">
        <f>SUMIF('ПО КОРИСНИЦИМА'!$G$16:$G$1823,"Свега за пројекат 2003-П19:",'ПО КОРИСНИЦИМА'!$L$16:$L$1823)</f>
        <v>0</v>
      </c>
      <c r="H332" s="254"/>
      <c r="I332" s="290"/>
      <c r="J332" s="244">
        <f t="shared" si="13"/>
        <v>0</v>
      </c>
      <c r="K332" s="244"/>
      <c r="L332" s="278"/>
    </row>
    <row r="333" spans="1:12" hidden="1" x14ac:dyDescent="0.2">
      <c r="A333" s="182"/>
      <c r="B333" s="182" t="s">
        <v>4499</v>
      </c>
      <c r="C333" s="262" t="str">
        <f>IFERROR(VLOOKUP(B333,'ПО КОРИСНИЦИМА'!$C$16:$S$1823,5,FALSE),"")</f>
        <v/>
      </c>
      <c r="D333" s="248">
        <f>SUMIF('ПО КОРИСНИЦИМА'!$G$16:$G$1823,"Свега за пројекат 2003-П20:",'ПО КОРИСНИЦИМА'!$H$16:$H$1823)</f>
        <v>0</v>
      </c>
      <c r="E333" s="248"/>
      <c r="F333" s="280"/>
      <c r="G333" s="249">
        <f>SUMIF('ПО КОРИСНИЦИМА'!$G$16:$G$1823,"Свега за пројекат 2003-П20:",'ПО КОРИСНИЦИМА'!$L$16:$L$1823)</f>
        <v>0</v>
      </c>
      <c r="H333" s="254"/>
      <c r="I333" s="290"/>
      <c r="J333" s="244">
        <f t="shared" si="13"/>
        <v>0</v>
      </c>
      <c r="K333" s="244"/>
      <c r="L333" s="278"/>
    </row>
    <row r="334" spans="1:12" hidden="1" x14ac:dyDescent="0.2">
      <c r="A334" s="182"/>
      <c r="B334" s="182" t="s">
        <v>4500</v>
      </c>
      <c r="C334" s="262" t="str">
        <f>IFERROR(VLOOKUP(B334,'ПО КОРИСНИЦИМА'!$C$16:$S$1823,5,FALSE),"")</f>
        <v/>
      </c>
      <c r="D334" s="248">
        <f>SUMIF('ПО КОРИСНИЦИМА'!$G$16:$G$1823,"Свега за пројекат 2003-П21:",'ПО КОРИСНИЦИМА'!$H$16:$H$1823)</f>
        <v>0</v>
      </c>
      <c r="E334" s="248"/>
      <c r="F334" s="280"/>
      <c r="G334" s="249">
        <f>SUMIF('ПО КОРИСНИЦИМА'!$G$16:$G$1823,"Свега за пројекат 2003-П21:",'ПО КОРИСНИЦИМА'!$L$16:$L$1823)</f>
        <v>0</v>
      </c>
      <c r="H334" s="254"/>
      <c r="I334" s="290"/>
      <c r="J334" s="244">
        <f t="shared" si="13"/>
        <v>0</v>
      </c>
      <c r="K334" s="244"/>
      <c r="L334" s="278"/>
    </row>
    <row r="335" spans="1:12" hidden="1" x14ac:dyDescent="0.2">
      <c r="A335" s="182"/>
      <c r="B335" s="182" t="s">
        <v>4501</v>
      </c>
      <c r="C335" s="262" t="str">
        <f>IFERROR(VLOOKUP(B335,'ПО КОРИСНИЦИМА'!$C$16:$S$1823,5,FALSE),"")</f>
        <v/>
      </c>
      <c r="D335" s="248">
        <f>SUMIF('ПО КОРИСНИЦИМА'!$G$16:$G$1823,"Свега за пројекат 2003-П22:",'ПО КОРИСНИЦИМА'!$H$16:$H$1823)</f>
        <v>0</v>
      </c>
      <c r="E335" s="248"/>
      <c r="F335" s="280"/>
      <c r="G335" s="249">
        <f>SUMIF('ПО КОРИСНИЦИМА'!$G$16:$G$1823,"Свега за пројекат 2003-П22:",'ПО КОРИСНИЦИМА'!$L$16:$L$1823)</f>
        <v>0</v>
      </c>
      <c r="H335" s="254"/>
      <c r="I335" s="290"/>
      <c r="J335" s="244">
        <f t="shared" si="13"/>
        <v>0</v>
      </c>
      <c r="K335" s="244"/>
      <c r="L335" s="278"/>
    </row>
    <row r="336" spans="1:12" hidden="1" x14ac:dyDescent="0.2">
      <c r="A336" s="182"/>
      <c r="B336" s="182" t="s">
        <v>4502</v>
      </c>
      <c r="C336" s="262" t="str">
        <f>IFERROR(VLOOKUP(B336,'ПО КОРИСНИЦИМА'!$C$16:$S$1823,5,FALSE),"")</f>
        <v/>
      </c>
      <c r="D336" s="248">
        <f>SUMIF('ПО КОРИСНИЦИМА'!$G$16:$G$1823,"Свега за пројекат 2003-П23:",'ПО КОРИСНИЦИМА'!$H$16:$H$1823)</f>
        <v>0</v>
      </c>
      <c r="E336" s="248"/>
      <c r="F336" s="280"/>
      <c r="G336" s="249">
        <f>SUMIF('ПО КОРИСНИЦИМА'!$G$16:$G$1823,"Свега за пројекат 2003-П23:",'ПО КОРИСНИЦИМА'!$L$16:$L$1823)</f>
        <v>0</v>
      </c>
      <c r="H336" s="254"/>
      <c r="I336" s="290"/>
      <c r="J336" s="244">
        <f t="shared" si="13"/>
        <v>0</v>
      </c>
      <c r="K336" s="244"/>
      <c r="L336" s="278"/>
    </row>
    <row r="337" spans="1:12" hidden="1" x14ac:dyDescent="0.2">
      <c r="A337" s="182"/>
      <c r="B337" s="182" t="s">
        <v>4503</v>
      </c>
      <c r="C337" s="262" t="str">
        <f>IFERROR(VLOOKUP(B337,'ПО КОРИСНИЦИМА'!$C$16:$S$1823,5,FALSE),"")</f>
        <v/>
      </c>
      <c r="D337" s="248">
        <f>SUMIF('ПО КОРИСНИЦИМА'!$G$16:$G$1823,"Свега за пројекат 2003-П24:",'ПО КОРИСНИЦИМА'!$H$16:$H$1823)</f>
        <v>0</v>
      </c>
      <c r="E337" s="248"/>
      <c r="F337" s="280"/>
      <c r="G337" s="249">
        <f>SUMIF('ПО КОРИСНИЦИМА'!$G$16:$G$1823,"Свега за пројекат 2003-П24:",'ПО КОРИСНИЦИМА'!$L$16:$L$1823)</f>
        <v>0</v>
      </c>
      <c r="H337" s="254"/>
      <c r="I337" s="290"/>
      <c r="J337" s="244">
        <f t="shared" si="13"/>
        <v>0</v>
      </c>
      <c r="K337" s="244"/>
      <c r="L337" s="278"/>
    </row>
    <row r="338" spans="1:12" hidden="1" x14ac:dyDescent="0.2">
      <c r="A338" s="182"/>
      <c r="B338" s="182" t="s">
        <v>4504</v>
      </c>
      <c r="C338" s="262" t="str">
        <f>IFERROR(VLOOKUP(B338,'ПО КОРИСНИЦИМА'!$C$16:$S$1823,5,FALSE),"")</f>
        <v/>
      </c>
      <c r="D338" s="248">
        <f>SUMIF('ПО КОРИСНИЦИМА'!$G$16:$G$1823,"Свега за пројекат 2003-П25:",'ПО КОРИСНИЦИМА'!$H$16:$H$1823)</f>
        <v>0</v>
      </c>
      <c r="E338" s="248"/>
      <c r="F338" s="280"/>
      <c r="G338" s="249">
        <f>SUMIF('ПО КОРИСНИЦИМА'!$G$16:$G$1823,"Свега за пројекат 2003-П25:",'ПО КОРИСНИЦИМА'!$L$16:$L$1823)</f>
        <v>0</v>
      </c>
      <c r="H338" s="254"/>
      <c r="I338" s="290"/>
      <c r="J338" s="244">
        <f t="shared" si="13"/>
        <v>0</v>
      </c>
      <c r="K338" s="244"/>
      <c r="L338" s="278"/>
    </row>
    <row r="339" spans="1:12" hidden="1" x14ac:dyDescent="0.2">
      <c r="A339" s="182"/>
      <c r="B339" s="182" t="s">
        <v>4505</v>
      </c>
      <c r="C339" s="262" t="str">
        <f>IFERROR(VLOOKUP(B339,'ПО КОРИСНИЦИМА'!$C$16:$S$1823,5,FALSE),"")</f>
        <v/>
      </c>
      <c r="D339" s="248">
        <f>SUMIF('ПО КОРИСНИЦИМА'!$G$16:$G$1823,"Свега за пројекат 2003-П26:",'ПО КОРИСНИЦИМА'!$H$16:$H$1823)</f>
        <v>0</v>
      </c>
      <c r="E339" s="248"/>
      <c r="F339" s="280"/>
      <c r="G339" s="249">
        <f>SUMIF('ПО КОРИСНИЦИМА'!$G$16:$G$1823,"Свега за пројекат 2003-П26:",'ПО КОРИСНИЦИМА'!$L$16:$L$1823)</f>
        <v>0</v>
      </c>
      <c r="H339" s="254"/>
      <c r="I339" s="290"/>
      <c r="J339" s="244">
        <f t="shared" si="13"/>
        <v>0</v>
      </c>
      <c r="K339" s="244"/>
      <c r="L339" s="278"/>
    </row>
    <row r="340" spans="1:12" hidden="1" x14ac:dyDescent="0.2">
      <c r="A340" s="182"/>
      <c r="B340" s="182" t="s">
        <v>4506</v>
      </c>
      <c r="C340" s="262" t="str">
        <f>IFERROR(VLOOKUP(B340,'ПО КОРИСНИЦИМА'!$C$16:$S$1823,5,FALSE),"")</f>
        <v/>
      </c>
      <c r="D340" s="248">
        <f>SUMIF('ПО КОРИСНИЦИМА'!$G$16:$G$1823,"Свега за пројекат 2003-П27:",'ПО КОРИСНИЦИМА'!$H$16:$H$1823)</f>
        <v>0</v>
      </c>
      <c r="E340" s="248"/>
      <c r="F340" s="280"/>
      <c r="G340" s="249">
        <f>SUMIF('ПО КОРИСНИЦИМА'!$G$16:$G$1823,"Свега за пројекат 2003-П27:",'ПО КОРИСНИЦИМА'!$L$16:$L$1823)</f>
        <v>0</v>
      </c>
      <c r="H340" s="254"/>
      <c r="I340" s="290"/>
      <c r="J340" s="244">
        <f t="shared" si="13"/>
        <v>0</v>
      </c>
      <c r="K340" s="244"/>
      <c r="L340" s="278"/>
    </row>
    <row r="341" spans="1:12" hidden="1" x14ac:dyDescent="0.2">
      <c r="A341" s="182"/>
      <c r="B341" s="182" t="s">
        <v>4507</v>
      </c>
      <c r="C341" s="262" t="str">
        <f>IFERROR(VLOOKUP(B341,'ПО КОРИСНИЦИМА'!$C$16:$S$1823,5,FALSE),"")</f>
        <v/>
      </c>
      <c r="D341" s="248">
        <f>SUMIF('ПО КОРИСНИЦИМА'!$G$16:$G$1823,"Свега за пројекат 2003-П28:",'ПО КОРИСНИЦИМА'!$H$16:$H$1823)</f>
        <v>0</v>
      </c>
      <c r="E341" s="248"/>
      <c r="F341" s="280"/>
      <c r="G341" s="249">
        <f>SUMIF('ПО КОРИСНИЦИМА'!$G$16:$G$1823,"Свега за пројекат 2003-П28:",'ПО КОРИСНИЦИМА'!$L$16:$L$1823)</f>
        <v>0</v>
      </c>
      <c r="H341" s="254"/>
      <c r="I341" s="290"/>
      <c r="J341" s="244">
        <f t="shared" si="13"/>
        <v>0</v>
      </c>
      <c r="K341" s="244"/>
      <c r="L341" s="278"/>
    </row>
    <row r="342" spans="1:12" hidden="1" x14ac:dyDescent="0.2">
      <c r="A342" s="182"/>
      <c r="B342" s="182" t="s">
        <v>4508</v>
      </c>
      <c r="C342" s="262" t="str">
        <f>IFERROR(VLOOKUP(B342,'ПО КОРИСНИЦИМА'!$C$16:$S$1823,5,FALSE),"")</f>
        <v/>
      </c>
      <c r="D342" s="248">
        <f>SUMIF('ПО КОРИСНИЦИМА'!$G$16:$G$1823,"Свега за пројекат 2003-П29:",'ПО КОРИСНИЦИМА'!$H$16:$H$1823)</f>
        <v>0</v>
      </c>
      <c r="E342" s="248"/>
      <c r="F342" s="280"/>
      <c r="G342" s="249">
        <f>SUMIF('ПО КОРИСНИЦИМА'!$G$16:$G$1823,"Свега за пројекат 2003-П29:",'ПО КОРИСНИЦИМА'!$L$16:$L$1823)</f>
        <v>0</v>
      </c>
      <c r="H342" s="254"/>
      <c r="I342" s="290"/>
      <c r="J342" s="244">
        <f t="shared" si="13"/>
        <v>0</v>
      </c>
      <c r="K342" s="244"/>
      <c r="L342" s="278"/>
    </row>
    <row r="343" spans="1:12" hidden="1" x14ac:dyDescent="0.2">
      <c r="A343" s="183"/>
      <c r="B343" s="182" t="s">
        <v>4509</v>
      </c>
      <c r="C343" s="262" t="str">
        <f>IFERROR(VLOOKUP(B343,'ПО КОРИСНИЦИМА'!$C$16:$S$1823,5,FALSE),"")</f>
        <v/>
      </c>
      <c r="D343" s="248">
        <f>SUMIF('ПО КОРИСНИЦИМА'!$G$16:$G$1823,"Свега за пројекат 2003-П30:",'ПО КОРИСНИЦИМА'!$H$16:$H$1823)</f>
        <v>0</v>
      </c>
      <c r="E343" s="248"/>
      <c r="F343" s="280"/>
      <c r="G343" s="249">
        <f>SUMIF('ПО КОРИСНИЦИМА'!$G$16:$G$1823,"Свега за пројекат 2003-П30:",'ПО КОРИСНИЦИМА'!$L$16:$L$1823)</f>
        <v>0</v>
      </c>
      <c r="H343" s="254"/>
      <c r="I343" s="290"/>
      <c r="J343" s="244">
        <f t="shared" si="13"/>
        <v>0</v>
      </c>
      <c r="K343" s="273"/>
      <c r="L343" s="296"/>
    </row>
    <row r="344" spans="1:12" s="180" customFormat="1" ht="25.5" x14ac:dyDescent="0.2">
      <c r="A344" s="173" t="s">
        <v>3591</v>
      </c>
      <c r="B344" s="174"/>
      <c r="C344" s="260" t="s">
        <v>3677</v>
      </c>
      <c r="D344" s="242">
        <f>SUM(D345:D381)</f>
        <v>17698000</v>
      </c>
      <c r="E344" s="242">
        <f>SUM(E345:E381)</f>
        <v>13246576.110000001</v>
      </c>
      <c r="F344" s="282">
        <f>E344/D344</f>
        <v>0.7484787043733756</v>
      </c>
      <c r="G344" s="243">
        <f>SUM(G345:G381)</f>
        <v>26400000</v>
      </c>
      <c r="H344" s="243">
        <f>SUM(H345:H381)</f>
        <v>9791387.2100000009</v>
      </c>
      <c r="I344" s="289">
        <f>H344/G344</f>
        <v>0.37088587916666671</v>
      </c>
      <c r="J344" s="242">
        <f t="shared" si="13"/>
        <v>44098000</v>
      </c>
      <c r="K344" s="242">
        <f>E344+H344</f>
        <v>23037963.32</v>
      </c>
      <c r="L344" s="282">
        <f>K344/J344</f>
        <v>0.52242648918318291</v>
      </c>
    </row>
    <row r="345" spans="1:12" ht="25.5" x14ac:dyDescent="0.2">
      <c r="A345" s="176"/>
      <c r="B345" s="181" t="s">
        <v>4068</v>
      </c>
      <c r="C345" s="269" t="s">
        <v>5118</v>
      </c>
      <c r="D345" s="244">
        <f>SUMIF('ПО КОРИСНИЦИМА'!$G$16:$G$1823,"Свега за програмску активност 0901-0001:",'ПО КОРИСНИЦИМА'!$H$16:$H$1823)</f>
        <v>7700000</v>
      </c>
      <c r="E345" s="244">
        <f>SUMIF('ПО КОРИСНИЦИМА'!$G$16:$G$1823,"Свега за програмску активност 0901-0001:",'ПО КОРИСНИЦИМА'!$I$16:$I$1823)</f>
        <v>5422200.8700000001</v>
      </c>
      <c r="F345" s="278">
        <f>E345/D345</f>
        <v>0.70418193116883121</v>
      </c>
      <c r="G345" s="245">
        <f>SUMIF('ПО КОРИСНИЦИМА'!$G$16:$G$1823,"Свега за програмску активност 0901-0001:",'ПО КОРИСНИЦИМА'!$L$16:$L$1823)</f>
        <v>0</v>
      </c>
      <c r="H345" s="245">
        <f>SUMIF('ПО КОРИСНИЦИМА'!$G$16:$G$1823,"Свега за програмску активност 0901-0001:",'ПО КОРИСНИЦИМА'!$M$16:$M$1823)</f>
        <v>0</v>
      </c>
      <c r="I345" s="285" t="e">
        <f t="shared" ref="I345:I353" si="14">H345/G345</f>
        <v>#DIV/0!</v>
      </c>
      <c r="J345" s="255">
        <f t="shared" si="13"/>
        <v>7700000</v>
      </c>
      <c r="K345" s="255">
        <f t="shared" ref="K345:K350" si="15">E345+H345</f>
        <v>5422200.8700000001</v>
      </c>
      <c r="L345" s="297">
        <f>K345/J345</f>
        <v>0.70418193116883121</v>
      </c>
    </row>
    <row r="346" spans="1:12" ht="25.5" hidden="1" x14ac:dyDescent="0.2">
      <c r="A346" s="178"/>
      <c r="B346" s="185" t="s">
        <v>4069</v>
      </c>
      <c r="C346" s="270" t="s">
        <v>4070</v>
      </c>
      <c r="D346" s="246">
        <f>SUMIF('ПО КОРИСНИЦИМА'!$G$16:$G$1823,"Свега за програмску активност 0901-0002:",'ПО КОРИСНИЦИМА'!$H$16:$H$1823)</f>
        <v>0</v>
      </c>
      <c r="E346" s="246">
        <f>SUMIF('ПО КОРИСНИЦИМА'!$G$16:$G$1823,"Свега за програмску активност 0901-0002:",'ПО КОРИСНИЦИМА'!$I$16:$I$1823)</f>
        <v>0</v>
      </c>
      <c r="F346" s="279"/>
      <c r="G346" s="247">
        <f>SUMIF('ПО КОРИСНИЦИМА'!$G$16:$G$1823,"Свега за програмску активност 0901-0002:",'ПО КОРИСНИЦИМА'!$L$16:$L$1823)</f>
        <v>0</v>
      </c>
      <c r="H346" s="245">
        <f>SUMIF('ПО КОРИСНИЦИМА'!$G$16:$G$1823,"Свега за програмску активност 0901-0002:",'ПО КОРИСНИЦИМА'!$M$16:$M$1823)</f>
        <v>0</v>
      </c>
      <c r="I346" s="285" t="e">
        <f t="shared" si="14"/>
        <v>#DIV/0!</v>
      </c>
      <c r="J346" s="255">
        <f t="shared" si="13"/>
        <v>0</v>
      </c>
      <c r="K346" s="255">
        <f t="shared" si="15"/>
        <v>0</v>
      </c>
      <c r="L346" s="297"/>
    </row>
    <row r="347" spans="1:12" x14ac:dyDescent="0.2">
      <c r="A347" s="178"/>
      <c r="B347" s="185" t="s">
        <v>4071</v>
      </c>
      <c r="C347" s="270" t="s">
        <v>5124</v>
      </c>
      <c r="D347" s="246">
        <f>SUMIF('ПО КОРИСНИЦИМА'!$G$16:$G$1823,"Свега за програмску активност 0901-0003:",'ПО КОРИСНИЦИМА'!$H$16:$H$1823)</f>
        <v>0</v>
      </c>
      <c r="E347" s="246">
        <f>SUMIF('ПО КОРИСНИЦИМА'!$G$16:$G$1823,"Свега за програмску активност 0901-0003:",'ПО КОРИСНИЦИМА'!$I$16:$I$1823)</f>
        <v>0</v>
      </c>
      <c r="F347" s="279" t="e">
        <f>E347/D347</f>
        <v>#DIV/0!</v>
      </c>
      <c r="G347" s="247">
        <f>SUMIF('ПО КОРИСНИЦИМА'!$G$16:$G$1823,"Свега за програмску активност 0901-0003:",'ПО КОРИСНИЦИМА'!$L$16:$L$1823)</f>
        <v>4000000</v>
      </c>
      <c r="H347" s="245">
        <f>SUMIF('ПО КОРИСНИЦИМА'!$G$16:$G$1823,"Свега за програмску активност 0901-0003:",'ПО КОРИСНИЦИМА'!$M$16:$M$1823)</f>
        <v>4292290</v>
      </c>
      <c r="I347" s="285">
        <f t="shared" si="14"/>
        <v>1.0730725000000001</v>
      </c>
      <c r="J347" s="255">
        <f t="shared" si="13"/>
        <v>4000000</v>
      </c>
      <c r="K347" s="255">
        <f t="shared" si="15"/>
        <v>4292290</v>
      </c>
      <c r="L347" s="297">
        <f>K347/J347</f>
        <v>1.0730725000000001</v>
      </c>
    </row>
    <row r="348" spans="1:12" ht="25.5" hidden="1" x14ac:dyDescent="0.2">
      <c r="A348" s="178"/>
      <c r="B348" s="185" t="s">
        <v>4072</v>
      </c>
      <c r="C348" s="270" t="s">
        <v>4073</v>
      </c>
      <c r="D348" s="246">
        <f>SUMIF('ПО КОРИСНИЦИМА'!$G$16:$G$1823,"Свега за програмску активност 0901-0004:",'ПО КОРИСНИЦИМА'!$H$16:$H$1823)</f>
        <v>0</v>
      </c>
      <c r="E348" s="246">
        <f>SUMIF('ПО КОРИСНИЦИМА'!$G$16:$G$1823,"Свега за програмску активност 0901-0004:",'ПО КОРИСНИЦИМА'!$H$16:$H$1823)</f>
        <v>0</v>
      </c>
      <c r="F348" s="279"/>
      <c r="G348" s="247">
        <f>SUMIF('ПО КОРИСНИЦИМА'!$G$16:$G$1823,"Свега за програмску активност 0901-0004:",'ПО КОРИСНИЦИМА'!$L$16:$L$1823)</f>
        <v>0</v>
      </c>
      <c r="H348" s="245">
        <f>SUMIF('ПО КОРИСНИЦИМА'!$G$16:$G$1823,"Свега за програмску активност 0901-0004:",'ПО КОРИСНИЦИМА'!$M$16:$M$1823)</f>
        <v>0</v>
      </c>
      <c r="I348" s="285" t="e">
        <f t="shared" si="14"/>
        <v>#DIV/0!</v>
      </c>
      <c r="J348" s="255">
        <f t="shared" si="13"/>
        <v>0</v>
      </c>
      <c r="K348" s="255">
        <f t="shared" si="15"/>
        <v>0</v>
      </c>
      <c r="L348" s="297"/>
    </row>
    <row r="349" spans="1:12" ht="25.5" x14ac:dyDescent="0.2">
      <c r="A349" s="178"/>
      <c r="B349" s="185" t="s">
        <v>4074</v>
      </c>
      <c r="C349" s="270" t="s">
        <v>5123</v>
      </c>
      <c r="D349" s="246">
        <f>SUMIF('ПО КОРИСНИЦИМА'!$G$16:$G$1823,"Свега за програмску активност 0901-0005:",'ПО КОРИСНИЦИМА'!$H$16:$H$1823)</f>
        <v>4800000</v>
      </c>
      <c r="E349" s="246">
        <f>SUMIF('ПО КОРИСНИЦИМА'!$G$16:$G$1823,"Свега за програмску активност 0901-0005:",'ПО КОРИСНИЦИМА'!$I$16:$I$1823)</f>
        <v>3266654</v>
      </c>
      <c r="F349" s="279">
        <f>E349/D349</f>
        <v>0.68055291666666662</v>
      </c>
      <c r="G349" s="247">
        <f>SUMIF('ПО КОРИСНИЦИМА'!$G$16:$G$1823,"Свега за програмску активност 0901-0005:",'ПО КОРИСНИЦИМА'!$L$16:$L$1823)</f>
        <v>0</v>
      </c>
      <c r="H349" s="245">
        <f>SUMIF('ПО КОРИСНИЦИМА'!$G$16:$G$1823,"Свега за програмску активност 0901-0005:",'ПО КОРИСНИЦИМА'!$M$16:$M$1823)</f>
        <v>0</v>
      </c>
      <c r="I349" s="285" t="e">
        <f t="shared" si="14"/>
        <v>#DIV/0!</v>
      </c>
      <c r="J349" s="255">
        <f>D349+G349</f>
        <v>4800000</v>
      </c>
      <c r="K349" s="255">
        <f t="shared" si="15"/>
        <v>3266654</v>
      </c>
      <c r="L349" s="297">
        <f>K349/J349</f>
        <v>0.68055291666666662</v>
      </c>
    </row>
    <row r="350" spans="1:12" ht="25.5" x14ac:dyDescent="0.2">
      <c r="A350" s="178"/>
      <c r="B350" s="185" t="s">
        <v>4972</v>
      </c>
      <c r="C350" s="262" t="s">
        <v>4973</v>
      </c>
      <c r="D350" s="248">
        <f>SUMIF('ПО КОРИСНИЦИМА'!$G$16:$G$1823,"Свега за програмску активност 0901-0006:",'ПО КОРИСНИЦИМА'!$H$16:$H$1823)</f>
        <v>3450000</v>
      </c>
      <c r="E350" s="248">
        <f>SUMIF('ПО КОРИСНИЦИМА'!$G$16:$G$1823,"Свега за програмску активност 0901-0006:",'ПО КОРИСНИЦИМА'!$I$16:$I$1823)</f>
        <v>3633721.24</v>
      </c>
      <c r="F350" s="280">
        <f>E350/D350</f>
        <v>1.0532525333333334</v>
      </c>
      <c r="G350" s="249">
        <f>SUMIF('ПО КОРИСНИЦИМА'!$G$16:$G$1823,"Свега за програмску активност 0901-0006:",'ПО КОРИСНИЦИМА'!$L$16:$L$1823)</f>
        <v>500000</v>
      </c>
      <c r="H350" s="254">
        <f>SUMIF('ПО КОРИСНИЦИМА'!$G$16:$G$1823,"Свега за програмску активност 0901-0006:",'ПО КОРИСНИЦИМА'!$M$16:$M$1823)</f>
        <v>0</v>
      </c>
      <c r="I350" s="290">
        <f t="shared" si="14"/>
        <v>0</v>
      </c>
      <c r="J350" s="255">
        <f>D350+G350</f>
        <v>3950000</v>
      </c>
      <c r="K350" s="255">
        <f t="shared" si="15"/>
        <v>3633721.24</v>
      </c>
      <c r="L350" s="297">
        <f>K350/J350</f>
        <v>0.91992942784810128</v>
      </c>
    </row>
    <row r="351" spans="1:12" x14ac:dyDescent="0.2">
      <c r="A351" s="429"/>
      <c r="B351" s="185" t="s">
        <v>5130</v>
      </c>
      <c r="C351" s="564" t="s">
        <v>5131</v>
      </c>
      <c r="D351" s="565">
        <f>SUMIF('ПО КОРИСНИЦИМА'!$G$16:$G$1823,"Свега за програмску активност 0901-0007:",'ПО КОРИСНИЦИМА'!$H$16:$H$1823)</f>
        <v>1248000</v>
      </c>
      <c r="E351" s="565">
        <f>SUMIF('ПО КОРИСНИЦИМА'!$G$16:$G$1823,"Свега за програмску активност 0901-0007:",'ПО КОРИСНИЦИМА'!$I$16:$I$1823)</f>
        <v>924000</v>
      </c>
      <c r="F351" s="566">
        <f>E351/D351</f>
        <v>0.74038461538461542</v>
      </c>
      <c r="G351" s="567">
        <f>SUMIF('ПО КОРИСНИЦИМА'!$G$16:$G$1823,"Свега за програмску активност 0901-0007:",'ПО КОРИСНИЦИМА'!$L$16:$L$1823)</f>
        <v>3000000</v>
      </c>
      <c r="H351" s="254">
        <f>SUMIF('ПО КОРИСНИЦИМА'!$G$16:$G$1823,"Свега за програмску активност 0901-0007:",'ПО КОРИСНИЦИМА'!$M$16:$M$1823)</f>
        <v>0</v>
      </c>
      <c r="I351" s="290">
        <f>H351/G351</f>
        <v>0</v>
      </c>
      <c r="J351" s="255">
        <f>D351+G351</f>
        <v>4248000</v>
      </c>
      <c r="K351" s="255"/>
      <c r="L351" s="297"/>
    </row>
    <row r="352" spans="1:12" ht="25.5" hidden="1" x14ac:dyDescent="0.2">
      <c r="A352" s="429"/>
      <c r="B352" s="563" t="s">
        <v>5062</v>
      </c>
      <c r="C352" s="564" t="s">
        <v>5063</v>
      </c>
      <c r="D352" s="565">
        <f>SUMIF('ПО КОРИСНИЦИМА'!$G$16:$G$1823,"Свега за програмску активност 0901-0009:",'ПО КОРИСНИЦИМА'!$H$16:$H$1823)</f>
        <v>0</v>
      </c>
      <c r="E352" s="565">
        <f>SUMIF('ПО КОРИСНИЦИМА'!$G$16:$G$1823,"Свега за програмску активност 0901-0009:",'ПО КОРИСНИЦИМА'!$I$16:$I$1823)</f>
        <v>0</v>
      </c>
      <c r="F352" s="566" t="e">
        <f>E352/D352</f>
        <v>#DIV/0!</v>
      </c>
      <c r="G352" s="567">
        <f>SUMIF('ПО КОРИСНИЦИМА'!$G$16:$G$1823,"Свега за програмску активност 0901-0009:",'ПО КОРИСНИЦИМА'!$L$16:$L$1823)</f>
        <v>0</v>
      </c>
      <c r="H352" s="254">
        <f>SUMIF('ПО КОРИСНИЦИМА'!$G$16:$G$1823,"Свега за програмску активност 0901-П1:",'ПО КОРИСНИЦИМА'!$M$16:$M$1823)</f>
        <v>0</v>
      </c>
      <c r="I352" s="290" t="e">
        <f t="shared" si="14"/>
        <v>#DIV/0!</v>
      </c>
      <c r="J352" s="255">
        <f>D352+G352</f>
        <v>0</v>
      </c>
      <c r="K352" s="255">
        <f>E352+H352</f>
        <v>0</v>
      </c>
      <c r="L352" s="297" t="e">
        <f>K352/J352</f>
        <v>#DIV/0!</v>
      </c>
    </row>
    <row r="353" spans="1:12" ht="24" customHeight="1" x14ac:dyDescent="0.2">
      <c r="A353" s="178"/>
      <c r="B353" s="185" t="s">
        <v>5082</v>
      </c>
      <c r="C353" s="262" t="str">
        <f>IFERROR(VLOOKUP(B353,'ПО КОРИСНИЦИМА'!$C$16:$S$1823,5,FALSE),"")</f>
        <v>Куповина кућа за породице избеглих лица</v>
      </c>
      <c r="D353" s="248">
        <f>SUMIF('ПО КОРИСНИЦИМА'!$G$16:$G$1823,"Свега за пројекат 0901-П1:",'ПО КОРИСНИЦИМА'!$H$16:$H$1823)</f>
        <v>0</v>
      </c>
      <c r="E353" s="248">
        <f>SUMIF('ПО КОРИСНИЦИМА'!$G$16:$G$1823,"Свега за пројекат 0901-П1:",'ПО КОРИСНИЦИМА'!$I$16:$I$1823)</f>
        <v>0</v>
      </c>
      <c r="F353" s="280" t="e">
        <f>E353/D353</f>
        <v>#DIV/0!</v>
      </c>
      <c r="G353" s="249">
        <f>SUMIF('ПО КОРИСНИЦИМА'!$G$16:$G$1823,"Свега за пројекат 0901-П1:",'ПО КОРИСНИЦИМА'!$L$16:$L$1823)</f>
        <v>7900000</v>
      </c>
      <c r="H353" s="254">
        <f>SUMIF('ПО КОРИСНИЦИМА'!$G$16:$G$1823,"Свега за пројекат 0901-П1:",'ПО КОРИСНИЦИМА'!$M$16:$M$1823)</f>
        <v>5499097.21</v>
      </c>
      <c r="I353" s="290">
        <f t="shared" si="14"/>
        <v>0.69608825443037969</v>
      </c>
      <c r="J353" s="255">
        <f>D353+G353</f>
        <v>7900000</v>
      </c>
      <c r="K353" s="255">
        <f>E353+H353</f>
        <v>5499097.21</v>
      </c>
      <c r="L353" s="297">
        <f>K353/J353</f>
        <v>0.69608825443037969</v>
      </c>
    </row>
    <row r="354" spans="1:12" ht="37.5" customHeight="1" x14ac:dyDescent="0.2">
      <c r="A354" s="178"/>
      <c r="B354" s="185" t="s">
        <v>5119</v>
      </c>
      <c r="C354" s="610" t="str">
        <f>IFERROR(VLOOKUP(B354,'ПО КОРИСНИЦИМА'!$C$16:$S$1823,5,FALSE),"")</f>
        <v>Куповина кућа и грађевинског материјала за интерно расељена лица</v>
      </c>
      <c r="D354" s="248">
        <f>SUMIF('ПО КОРИСНИЦИМА'!$G$16:$G$1823,"Свега за пројекат 0901-П2:",'ПО КОРИСНИЦИМА'!$H$16:$H$1823)</f>
        <v>500000</v>
      </c>
      <c r="E354" s="248">
        <f>SUMIF('ПО КОРИСНИЦИМА'!$G$16:$G$1823,"Свега за пројекат 0901-П2:",'ПО КОРИСНИЦИМА'!$I$16:$I$1823)</f>
        <v>0</v>
      </c>
      <c r="F354" s="280"/>
      <c r="G354" s="249">
        <f>SUMIF('ПО КОРИСНИЦИМА'!$G$16:$G$1823,"Свега за пројекат 0901-П2:",'ПО КОРИСНИЦИМА'!$L$16:$L$1823)</f>
        <v>11000000</v>
      </c>
      <c r="H354" s="254">
        <f>SUMIF('ПО КОРИСНИЦИМА'!$G$16:$G$1823,"Свега за пројекат 0901-П2:",'ПО КОРИСНИЦИМА'!$M$16:$M$1823)</f>
        <v>0</v>
      </c>
      <c r="I354" s="290"/>
      <c r="J354" s="255">
        <f t="shared" si="13"/>
        <v>11500000</v>
      </c>
      <c r="K354" s="255"/>
      <c r="L354" s="297"/>
    </row>
    <row r="355" spans="1:12" hidden="1" x14ac:dyDescent="0.2">
      <c r="A355" s="178"/>
      <c r="B355" s="185" t="s">
        <v>4511</v>
      </c>
      <c r="C355" s="262" t="str">
        <f>IFERROR(VLOOKUP(B355,'ПО КОРИСНИЦИМА'!$C$16:$S$1823,5,FALSE),"")</f>
        <v/>
      </c>
      <c r="D355" s="248">
        <f>SUMIF('ПО КОРИСНИЦИМА'!$G$16:$G$1823,"Свега за пројекат 0901-П4:",'ПО КОРИСНИЦИМА'!$H$16:$H$1823)</f>
        <v>0</v>
      </c>
      <c r="E355" s="248"/>
      <c r="F355" s="280"/>
      <c r="G355" s="249">
        <f>SUMIF('ПО КОРИСНИЦИМА'!$G$16:$G$1823,"Свега за пројекат 0901-П4:",'ПО КОРИСНИЦИМА'!$L$16:$L$1823)</f>
        <v>0</v>
      </c>
      <c r="H355" s="254"/>
      <c r="I355" s="290"/>
      <c r="J355" s="255">
        <f t="shared" si="13"/>
        <v>0</v>
      </c>
      <c r="K355" s="255"/>
      <c r="L355" s="297"/>
    </row>
    <row r="356" spans="1:12" hidden="1" x14ac:dyDescent="0.2">
      <c r="A356" s="178"/>
      <c r="B356" s="185" t="s">
        <v>4512</v>
      </c>
      <c r="C356" s="262" t="str">
        <f>IFERROR(VLOOKUP(B356,'ПО КОРИСНИЦИМА'!$C$16:$S$1823,5,FALSE),"")</f>
        <v/>
      </c>
      <c r="D356" s="248">
        <f>SUMIF('ПО КОРИСНИЦИМА'!$G$16:$G$1823,"Свега за пројекат 0901-П5:",'ПО КОРИСНИЦИМА'!$H$16:$H$1823)</f>
        <v>0</v>
      </c>
      <c r="E356" s="248"/>
      <c r="F356" s="280"/>
      <c r="G356" s="249">
        <f>SUMIF('ПО КОРИСНИЦИМА'!$G$16:$G$1823,"Свега за пројекат 0901-П5:",'ПО КОРИСНИЦИМА'!$L$16:$L$1823)</f>
        <v>0</v>
      </c>
      <c r="H356" s="254"/>
      <c r="I356" s="290"/>
      <c r="J356" s="255">
        <f t="shared" si="13"/>
        <v>0</v>
      </c>
      <c r="K356" s="255"/>
      <c r="L356" s="297"/>
    </row>
    <row r="357" spans="1:12" hidden="1" x14ac:dyDescent="0.2">
      <c r="A357" s="178"/>
      <c r="B357" s="185" t="s">
        <v>4513</v>
      </c>
      <c r="C357" s="262" t="str">
        <f>IFERROR(VLOOKUP(B357,'ПО КОРИСНИЦИМА'!$C$16:$S$1823,5,FALSE),"")</f>
        <v/>
      </c>
      <c r="D357" s="248">
        <f>SUMIF('ПО КОРИСНИЦИМА'!$G$16:$G$1823,"Свега за пројекат 0901-П6:",'ПО КОРИСНИЦИМА'!$H$16:$H$1823)</f>
        <v>0</v>
      </c>
      <c r="E357" s="248"/>
      <c r="F357" s="280"/>
      <c r="G357" s="249">
        <f>SUMIF('ПО КОРИСНИЦИМА'!$G$16:$G$1823,"Свега за пројекат 0901-П6:",'ПО КОРИСНИЦИМА'!$L$16:$L$1823)</f>
        <v>0</v>
      </c>
      <c r="H357" s="254"/>
      <c r="I357" s="290"/>
      <c r="J357" s="255">
        <f t="shared" si="13"/>
        <v>0</v>
      </c>
      <c r="K357" s="255"/>
      <c r="L357" s="297"/>
    </row>
    <row r="358" spans="1:12" hidden="1" x14ac:dyDescent="0.2">
      <c r="A358" s="178"/>
      <c r="B358" s="185" t="s">
        <v>4514</v>
      </c>
      <c r="C358" s="262" t="str">
        <f>IFERROR(VLOOKUP(B358,'ПО КОРИСНИЦИМА'!$C$16:$S$1823,5,FALSE),"")</f>
        <v/>
      </c>
      <c r="D358" s="248">
        <f>SUMIF('ПО КОРИСНИЦИМА'!$G$16:$G$1823,"Свега за пројекат 0901-П7:",'ПО КОРИСНИЦИМА'!$H$16:$H$1823)</f>
        <v>0</v>
      </c>
      <c r="E358" s="248"/>
      <c r="F358" s="280"/>
      <c r="G358" s="249">
        <f>SUMIF('ПО КОРИСНИЦИМА'!$G$16:$G$1823,"Свега за пројекат 0901-П7:",'ПО КОРИСНИЦИМА'!$L$16:$L$1823)</f>
        <v>0</v>
      </c>
      <c r="H358" s="254"/>
      <c r="I358" s="290"/>
      <c r="J358" s="255">
        <f t="shared" si="13"/>
        <v>0</v>
      </c>
      <c r="K358" s="255"/>
      <c r="L358" s="297"/>
    </row>
    <row r="359" spans="1:12" hidden="1" x14ac:dyDescent="0.2">
      <c r="A359" s="178"/>
      <c r="B359" s="185" t="s">
        <v>4515</v>
      </c>
      <c r="C359" s="262" t="str">
        <f>IFERROR(VLOOKUP(B359,'ПО КОРИСНИЦИМА'!$C$16:$S$1823,5,FALSE),"")</f>
        <v/>
      </c>
      <c r="D359" s="248">
        <f>SUMIF('ПО КОРИСНИЦИМА'!$G$16:$G$1823,"Свега за пројекат 0901-П8:",'ПО КОРИСНИЦИМА'!$H$16:$H$1823)</f>
        <v>0</v>
      </c>
      <c r="E359" s="248"/>
      <c r="F359" s="280"/>
      <c r="G359" s="249">
        <f>SUMIF('ПО КОРИСНИЦИМА'!$G$16:$G$1823,"Свега за пројекат 0901-П8:",'ПО КОРИСНИЦИМА'!$L$16:$L$1823)</f>
        <v>0</v>
      </c>
      <c r="H359" s="254"/>
      <c r="I359" s="290"/>
      <c r="J359" s="255">
        <f t="shared" si="13"/>
        <v>0</v>
      </c>
      <c r="K359" s="255"/>
      <c r="L359" s="297"/>
    </row>
    <row r="360" spans="1:12" hidden="1" x14ac:dyDescent="0.2">
      <c r="A360" s="178"/>
      <c r="B360" s="185" t="s">
        <v>4516</v>
      </c>
      <c r="C360" s="262" t="str">
        <f>IFERROR(VLOOKUP(B360,'ПО КОРИСНИЦИМА'!$C$16:$S$1823,5,FALSE),"")</f>
        <v/>
      </c>
      <c r="D360" s="248">
        <f>SUMIF('ПО КОРИСНИЦИМА'!$G$16:$G$1823,"Свега за пројекат 0901-П9:",'ПО КОРИСНИЦИМА'!$H$16:$H$1823)</f>
        <v>0</v>
      </c>
      <c r="E360" s="248"/>
      <c r="F360" s="280"/>
      <c r="G360" s="249">
        <f>SUMIF('ПО КОРИСНИЦИМА'!$G$16:$G$1823,"Свега за пројекат 0901-П9:",'ПО КОРИСНИЦИМА'!$L$16:$L$1823)</f>
        <v>0</v>
      </c>
      <c r="H360" s="254"/>
      <c r="I360" s="290"/>
      <c r="J360" s="255">
        <f t="shared" si="13"/>
        <v>0</v>
      </c>
      <c r="K360" s="255"/>
      <c r="L360" s="297"/>
    </row>
    <row r="361" spans="1:12" hidden="1" x14ac:dyDescent="0.2">
      <c r="A361" s="178"/>
      <c r="B361" s="185" t="s">
        <v>4517</v>
      </c>
      <c r="C361" s="262" t="str">
        <f>IFERROR(VLOOKUP(B361,'ПО КОРИСНИЦИМА'!$C$16:$S$1823,5,FALSE),"")</f>
        <v/>
      </c>
      <c r="D361" s="248">
        <f>SUMIF('ПО КОРИСНИЦИМА'!$G$16:$G$1823,"Свега за пројекат 0901-П10:",'ПО КОРИСНИЦИМА'!$H$16:$H$1823)</f>
        <v>0</v>
      </c>
      <c r="E361" s="248"/>
      <c r="F361" s="280"/>
      <c r="G361" s="249">
        <f>SUMIF('ПО КОРИСНИЦИМА'!$G$16:$G$1823,"Свега за пројекат 0901-П10:",'ПО КОРИСНИЦИМА'!$L$16:$L$1823)</f>
        <v>0</v>
      </c>
      <c r="H361" s="254"/>
      <c r="I361" s="290"/>
      <c r="J361" s="255">
        <f t="shared" si="13"/>
        <v>0</v>
      </c>
      <c r="K361" s="255"/>
      <c r="L361" s="297"/>
    </row>
    <row r="362" spans="1:12" hidden="1" x14ac:dyDescent="0.2">
      <c r="A362" s="178"/>
      <c r="B362" s="185" t="s">
        <v>4518</v>
      </c>
      <c r="C362" s="262" t="str">
        <f>IFERROR(VLOOKUP(B362,'ПО КОРИСНИЦИМА'!$C$16:$S$1823,5,FALSE),"")</f>
        <v/>
      </c>
      <c r="D362" s="248">
        <f>SUMIF('ПО КОРИСНИЦИМА'!$G$16:$G$1823,"Свега за пројекат 0901-П11:",'ПО КОРИСНИЦИМА'!$H$16:$H$1823)</f>
        <v>0</v>
      </c>
      <c r="E362" s="248"/>
      <c r="F362" s="280"/>
      <c r="G362" s="249">
        <f>SUMIF('ПО КОРИСНИЦИМА'!$G$16:$G$1823,"Свега за пројекат 0901-П11:",'ПО КОРИСНИЦИМА'!$L$16:$L$1823)</f>
        <v>0</v>
      </c>
      <c r="H362" s="254"/>
      <c r="I362" s="290"/>
      <c r="J362" s="255">
        <f t="shared" si="13"/>
        <v>0</v>
      </c>
      <c r="K362" s="255"/>
      <c r="L362" s="297"/>
    </row>
    <row r="363" spans="1:12" hidden="1" x14ac:dyDescent="0.2">
      <c r="A363" s="178"/>
      <c r="B363" s="185" t="s">
        <v>4519</v>
      </c>
      <c r="C363" s="262" t="str">
        <f>IFERROR(VLOOKUP(B363,'ПО КОРИСНИЦИМА'!$C$16:$S$1823,5,FALSE),"")</f>
        <v/>
      </c>
      <c r="D363" s="248">
        <f>SUMIF('ПО КОРИСНИЦИМА'!$G$16:$G$1823,"Свега за пројекат 0901-П12:",'ПО КОРИСНИЦИМА'!$H$16:$H$1823)</f>
        <v>0</v>
      </c>
      <c r="E363" s="248"/>
      <c r="F363" s="280"/>
      <c r="G363" s="249">
        <f>SUMIF('ПО КОРИСНИЦИМА'!$G$16:$G$1823,"Свега за пројекат 0901-П12:",'ПО КОРИСНИЦИМА'!$L$16:$L$1823)</f>
        <v>0</v>
      </c>
      <c r="H363" s="254"/>
      <c r="I363" s="290"/>
      <c r="J363" s="255">
        <f t="shared" si="13"/>
        <v>0</v>
      </c>
      <c r="K363" s="255"/>
      <c r="L363" s="297"/>
    </row>
    <row r="364" spans="1:12" hidden="1" x14ac:dyDescent="0.2">
      <c r="A364" s="178"/>
      <c r="B364" s="185" t="s">
        <v>4520</v>
      </c>
      <c r="C364" s="262" t="str">
        <f>IFERROR(VLOOKUP(B364,'ПО КОРИСНИЦИМА'!$C$16:$S$1823,5,FALSE),"")</f>
        <v/>
      </c>
      <c r="D364" s="248">
        <f>SUMIF('ПО КОРИСНИЦИМА'!$G$16:$G$1823,"Свега за пројекат 0901-П13:",'ПО КОРИСНИЦИМА'!$H$16:$H$1823)</f>
        <v>0</v>
      </c>
      <c r="E364" s="248"/>
      <c r="F364" s="280"/>
      <c r="G364" s="249">
        <f>SUMIF('ПО КОРИСНИЦИМА'!$G$16:$G$1823,"Свега за пројекат 0901-П13:",'ПО КОРИСНИЦИМА'!$L$16:$L$1823)</f>
        <v>0</v>
      </c>
      <c r="H364" s="254"/>
      <c r="I364" s="290"/>
      <c r="J364" s="255">
        <f t="shared" si="13"/>
        <v>0</v>
      </c>
      <c r="K364" s="255"/>
      <c r="L364" s="297"/>
    </row>
    <row r="365" spans="1:12" hidden="1" x14ac:dyDescent="0.2">
      <c r="A365" s="178"/>
      <c r="B365" s="185" t="s">
        <v>4521</v>
      </c>
      <c r="C365" s="262" t="str">
        <f>IFERROR(VLOOKUP(B365,'ПО КОРИСНИЦИМА'!$C$16:$S$1823,5,FALSE),"")</f>
        <v/>
      </c>
      <c r="D365" s="248">
        <f>SUMIF('ПО КОРИСНИЦИМА'!$G$16:$G$1823,"Свега за пројекат 0901-П14:",'ПО КОРИСНИЦИМА'!$H$16:$H$1823)</f>
        <v>0</v>
      </c>
      <c r="E365" s="248"/>
      <c r="F365" s="280"/>
      <c r="G365" s="249">
        <f>SUMIF('ПО КОРИСНИЦИМА'!$G$16:$G$1823,"Свега за пројекат 0901-П14:",'ПО КОРИСНИЦИМА'!$L$16:$L$1823)</f>
        <v>0</v>
      </c>
      <c r="H365" s="254"/>
      <c r="I365" s="290"/>
      <c r="J365" s="255">
        <f t="shared" si="13"/>
        <v>0</v>
      </c>
      <c r="K365" s="255"/>
      <c r="L365" s="297"/>
    </row>
    <row r="366" spans="1:12" hidden="1" x14ac:dyDescent="0.2">
      <c r="A366" s="178"/>
      <c r="B366" s="185" t="s">
        <v>4522</v>
      </c>
      <c r="C366" s="262" t="str">
        <f>IFERROR(VLOOKUP(B366,'ПО КОРИСНИЦИМА'!$C$16:$S$1823,5,FALSE),"")</f>
        <v/>
      </c>
      <c r="D366" s="248">
        <f>SUMIF('ПО КОРИСНИЦИМА'!$G$16:$G$1823,"Свега за пројекат 0901-П15:",'ПО КОРИСНИЦИМА'!$H$16:$H$1823)</f>
        <v>0</v>
      </c>
      <c r="E366" s="248"/>
      <c r="F366" s="280"/>
      <c r="G366" s="249">
        <f>SUMIF('ПО КОРИСНИЦИМА'!$G$16:$G$1823,"Свега за пројекат 0901-П15:",'ПО КОРИСНИЦИМА'!$L$16:$L$1823)</f>
        <v>0</v>
      </c>
      <c r="H366" s="254"/>
      <c r="I366" s="290"/>
      <c r="J366" s="255">
        <f t="shared" si="13"/>
        <v>0</v>
      </c>
      <c r="K366" s="255"/>
      <c r="L366" s="297"/>
    </row>
    <row r="367" spans="1:12" hidden="1" x14ac:dyDescent="0.2">
      <c r="A367" s="178"/>
      <c r="B367" s="185" t="s">
        <v>4523</v>
      </c>
      <c r="C367" s="262" t="str">
        <f>IFERROR(VLOOKUP(B367,'ПО КОРИСНИЦИМА'!$C$16:$S$1823,5,FALSE),"")</f>
        <v/>
      </c>
      <c r="D367" s="248">
        <f>SUMIF('ПО КОРИСНИЦИМА'!$G$16:$G$1823,"Свега за пројекат 0901-П16:",'ПО КОРИСНИЦИМА'!$H$16:$H$1823)</f>
        <v>0</v>
      </c>
      <c r="E367" s="248"/>
      <c r="F367" s="280"/>
      <c r="G367" s="249">
        <f>SUMIF('ПО КОРИСНИЦИМА'!$G$16:$G$1823,"Свега за пројекат 0901-П16:",'ПО КОРИСНИЦИМА'!$L$16:$L$1823)</f>
        <v>0</v>
      </c>
      <c r="H367" s="254"/>
      <c r="I367" s="290"/>
      <c r="J367" s="255">
        <f t="shared" si="13"/>
        <v>0</v>
      </c>
      <c r="K367" s="255"/>
      <c r="L367" s="297"/>
    </row>
    <row r="368" spans="1:12" hidden="1" x14ac:dyDescent="0.2">
      <c r="A368" s="178"/>
      <c r="B368" s="185" t="s">
        <v>4524</v>
      </c>
      <c r="C368" s="262" t="str">
        <f>IFERROR(VLOOKUP(B368,'ПО КОРИСНИЦИМА'!$C$16:$S$1823,5,FALSE),"")</f>
        <v/>
      </c>
      <c r="D368" s="248">
        <f>SUMIF('ПО КОРИСНИЦИМА'!$G$16:$G$1823,"Свега за пројекат 0901-П17:",'ПО КОРИСНИЦИМА'!$H$16:$H$1823)</f>
        <v>0</v>
      </c>
      <c r="E368" s="248"/>
      <c r="F368" s="280"/>
      <c r="G368" s="249">
        <f>SUMIF('ПО КОРИСНИЦИМА'!$G$16:$G$1823,"Свега за пројекат 0901-П17:",'ПО КОРИСНИЦИМА'!$L$16:$L$1823)</f>
        <v>0</v>
      </c>
      <c r="H368" s="254"/>
      <c r="I368" s="290"/>
      <c r="J368" s="255">
        <f t="shared" si="13"/>
        <v>0</v>
      </c>
      <c r="K368" s="255"/>
      <c r="L368" s="297"/>
    </row>
    <row r="369" spans="1:12" hidden="1" x14ac:dyDescent="0.2">
      <c r="A369" s="178"/>
      <c r="B369" s="185" t="s">
        <v>4525</v>
      </c>
      <c r="C369" s="262" t="str">
        <f>IFERROR(VLOOKUP(B369,'ПО КОРИСНИЦИМА'!$C$16:$S$1823,5,FALSE),"")</f>
        <v/>
      </c>
      <c r="D369" s="248">
        <f>SUMIF('ПО КОРИСНИЦИМА'!$G$16:$G$1823,"Свега за пројекат 0901-П18:",'ПО КОРИСНИЦИМА'!$H$16:$H$1823)</f>
        <v>0</v>
      </c>
      <c r="E369" s="248"/>
      <c r="F369" s="280"/>
      <c r="G369" s="249">
        <f>SUMIF('ПО КОРИСНИЦИМА'!$G$16:$G$1823,"Свега за пројекат 0901-П18:",'ПО КОРИСНИЦИМА'!$L$16:$L$1823)</f>
        <v>0</v>
      </c>
      <c r="H369" s="254"/>
      <c r="I369" s="290"/>
      <c r="J369" s="255">
        <f t="shared" si="13"/>
        <v>0</v>
      </c>
      <c r="K369" s="255"/>
      <c r="L369" s="297"/>
    </row>
    <row r="370" spans="1:12" hidden="1" x14ac:dyDescent="0.2">
      <c r="A370" s="178"/>
      <c r="B370" s="185" t="s">
        <v>4526</v>
      </c>
      <c r="C370" s="262" t="str">
        <f>IFERROR(VLOOKUP(B370,'ПО КОРИСНИЦИМА'!$C$16:$S$1823,5,FALSE),"")</f>
        <v/>
      </c>
      <c r="D370" s="248">
        <f>SUMIF('ПО КОРИСНИЦИМА'!$G$16:$G$1823,"Свега за пројекат 0901-П19:",'ПО КОРИСНИЦИМА'!$H$16:$H$1823)</f>
        <v>0</v>
      </c>
      <c r="E370" s="248"/>
      <c r="F370" s="280"/>
      <c r="G370" s="249">
        <f>SUMIF('ПО КОРИСНИЦИМА'!$G$16:$G$1823,"Свега за пројекат 0901-П19:",'ПО КОРИСНИЦИМА'!$L$16:$L$1823)</f>
        <v>0</v>
      </c>
      <c r="H370" s="254"/>
      <c r="I370" s="290"/>
      <c r="J370" s="255">
        <f t="shared" si="13"/>
        <v>0</v>
      </c>
      <c r="K370" s="255"/>
      <c r="L370" s="297"/>
    </row>
    <row r="371" spans="1:12" hidden="1" x14ac:dyDescent="0.2">
      <c r="A371" s="178"/>
      <c r="B371" s="185" t="s">
        <v>4527</v>
      </c>
      <c r="C371" s="262" t="str">
        <f>IFERROR(VLOOKUP(B371,'ПО КОРИСНИЦИМА'!$C$16:$S$1823,5,FALSE),"")</f>
        <v/>
      </c>
      <c r="D371" s="248">
        <f>SUMIF('ПО КОРИСНИЦИМА'!$G$16:$G$1823,"Свега за пројекат 0901-П20:",'ПО КОРИСНИЦИМА'!$H$16:$H$1823)</f>
        <v>0</v>
      </c>
      <c r="E371" s="248"/>
      <c r="F371" s="280"/>
      <c r="G371" s="249">
        <f>SUMIF('ПО КОРИСНИЦИМА'!$G$16:$G$1823,"Свега за пројекат 0901-П20:",'ПО КОРИСНИЦИМА'!$L$16:$L$1823)</f>
        <v>0</v>
      </c>
      <c r="H371" s="254"/>
      <c r="I371" s="290"/>
      <c r="J371" s="255">
        <f t="shared" si="13"/>
        <v>0</v>
      </c>
      <c r="K371" s="255"/>
      <c r="L371" s="297"/>
    </row>
    <row r="372" spans="1:12" hidden="1" x14ac:dyDescent="0.2">
      <c r="A372" s="178"/>
      <c r="B372" s="185" t="s">
        <v>4528</v>
      </c>
      <c r="C372" s="262" t="str">
        <f>IFERROR(VLOOKUP(B372,'ПО КОРИСНИЦИМА'!$C$16:$S$1823,5,FALSE),"")</f>
        <v/>
      </c>
      <c r="D372" s="248">
        <f>SUMIF('ПО КОРИСНИЦИМА'!$G$16:$G$1823,"Свега за пројекат 0901-П21:",'ПО КОРИСНИЦИМА'!$H$16:$H$1823)</f>
        <v>0</v>
      </c>
      <c r="E372" s="248"/>
      <c r="F372" s="280"/>
      <c r="G372" s="249">
        <f>SUMIF('ПО КОРИСНИЦИМА'!$G$16:$G$1823,"Свега за пројекат 0901-П21:",'ПО КОРИСНИЦИМА'!$L$16:$L$1823)</f>
        <v>0</v>
      </c>
      <c r="H372" s="254"/>
      <c r="I372" s="290"/>
      <c r="J372" s="255">
        <f t="shared" si="13"/>
        <v>0</v>
      </c>
      <c r="K372" s="255"/>
      <c r="L372" s="297"/>
    </row>
    <row r="373" spans="1:12" hidden="1" x14ac:dyDescent="0.2">
      <c r="A373" s="178"/>
      <c r="B373" s="185" t="s">
        <v>4529</v>
      </c>
      <c r="C373" s="262" t="str">
        <f>IFERROR(VLOOKUP(B373,'ПО КОРИСНИЦИМА'!$C$16:$S$1823,5,FALSE),"")</f>
        <v/>
      </c>
      <c r="D373" s="248">
        <f>SUMIF('ПО КОРИСНИЦИМА'!$G$16:$G$1823,"Свега за пројекат 0901-П22:",'ПО КОРИСНИЦИМА'!$H$16:$H$1823)</f>
        <v>0</v>
      </c>
      <c r="E373" s="248"/>
      <c r="F373" s="280"/>
      <c r="G373" s="249">
        <f>SUMIF('ПО КОРИСНИЦИМА'!$G$16:$G$1823,"Свега за пројекат 0901-П22:",'ПО КОРИСНИЦИМА'!$L$16:$L$1823)</f>
        <v>0</v>
      </c>
      <c r="H373" s="254"/>
      <c r="I373" s="290"/>
      <c r="J373" s="255">
        <f t="shared" si="13"/>
        <v>0</v>
      </c>
      <c r="K373" s="255"/>
      <c r="L373" s="297"/>
    </row>
    <row r="374" spans="1:12" hidden="1" x14ac:dyDescent="0.2">
      <c r="A374" s="178"/>
      <c r="B374" s="185" t="s">
        <v>4530</v>
      </c>
      <c r="C374" s="262" t="str">
        <f>IFERROR(VLOOKUP(B374,'ПО КОРИСНИЦИМА'!$C$16:$S$1823,5,FALSE),"")</f>
        <v/>
      </c>
      <c r="D374" s="248">
        <f>SUMIF('ПО КОРИСНИЦИМА'!$G$16:$G$1823,"Свега за пројекат 0901-П23:",'ПО КОРИСНИЦИМА'!$H$16:$H$1823)</f>
        <v>0</v>
      </c>
      <c r="E374" s="248"/>
      <c r="F374" s="280"/>
      <c r="G374" s="249">
        <f>SUMIF('ПО КОРИСНИЦИМА'!$G$16:$G$1823,"Свега за пројекат 0901-П23:",'ПО КОРИСНИЦИМА'!$L$16:$L$1823)</f>
        <v>0</v>
      </c>
      <c r="H374" s="254"/>
      <c r="I374" s="290"/>
      <c r="J374" s="255">
        <f t="shared" si="13"/>
        <v>0</v>
      </c>
      <c r="K374" s="255"/>
      <c r="L374" s="297"/>
    </row>
    <row r="375" spans="1:12" hidden="1" x14ac:dyDescent="0.2">
      <c r="A375" s="178"/>
      <c r="B375" s="185" t="s">
        <v>4531</v>
      </c>
      <c r="C375" s="262" t="str">
        <f>IFERROR(VLOOKUP(B375,'ПО КОРИСНИЦИМА'!$C$16:$S$1823,5,FALSE),"")</f>
        <v/>
      </c>
      <c r="D375" s="248">
        <f>SUMIF('ПО КОРИСНИЦИМА'!$G$16:$G$1823,"Свега за пројекат 0901-П24:",'ПО КОРИСНИЦИМА'!$H$16:$H$1823)</f>
        <v>0</v>
      </c>
      <c r="E375" s="248"/>
      <c r="F375" s="280"/>
      <c r="G375" s="249">
        <f>SUMIF('ПО КОРИСНИЦИМА'!$G$16:$G$1823,"Свега за пројекат 0901-П24:",'ПО КОРИСНИЦИМА'!$L$16:$L$1823)</f>
        <v>0</v>
      </c>
      <c r="H375" s="254"/>
      <c r="I375" s="290"/>
      <c r="J375" s="255">
        <f t="shared" si="13"/>
        <v>0</v>
      </c>
      <c r="K375" s="255"/>
      <c r="L375" s="297"/>
    </row>
    <row r="376" spans="1:12" hidden="1" x14ac:dyDescent="0.2">
      <c r="A376" s="178"/>
      <c r="B376" s="185" t="s">
        <v>4532</v>
      </c>
      <c r="C376" s="262" t="str">
        <f>IFERROR(VLOOKUP(B376,'ПО КОРИСНИЦИМА'!$C$16:$S$1823,5,FALSE),"")</f>
        <v/>
      </c>
      <c r="D376" s="248">
        <f>SUMIF('ПО КОРИСНИЦИМА'!$G$16:$G$1823,"Свега за пројекат 0901-П25:",'ПО КОРИСНИЦИМА'!$H$16:$H$1823)</f>
        <v>0</v>
      </c>
      <c r="E376" s="248"/>
      <c r="F376" s="280"/>
      <c r="G376" s="249">
        <f>SUMIF('ПО КОРИСНИЦИМА'!$G$16:$G$1823,"Свега за пројекат 0901-П25:",'ПО КОРИСНИЦИМА'!$L$16:$L$1823)</f>
        <v>0</v>
      </c>
      <c r="H376" s="254"/>
      <c r="I376" s="290"/>
      <c r="J376" s="255">
        <f t="shared" si="13"/>
        <v>0</v>
      </c>
      <c r="K376" s="255"/>
      <c r="L376" s="297"/>
    </row>
    <row r="377" spans="1:12" hidden="1" x14ac:dyDescent="0.2">
      <c r="A377" s="178"/>
      <c r="B377" s="185" t="s">
        <v>4533</v>
      </c>
      <c r="C377" s="262" t="str">
        <f>IFERROR(VLOOKUP(B377,'ПО КОРИСНИЦИМА'!$C$16:$S$1823,5,FALSE),"")</f>
        <v/>
      </c>
      <c r="D377" s="248">
        <f>SUMIF('ПО КОРИСНИЦИМА'!$G$16:$G$1823,"Свега за пројекат 0901-П26:",'ПО КОРИСНИЦИМА'!$H$16:$H$1823)</f>
        <v>0</v>
      </c>
      <c r="E377" s="248"/>
      <c r="F377" s="280"/>
      <c r="G377" s="249">
        <f>SUMIF('ПО КОРИСНИЦИМА'!$G$16:$G$1823,"Свега за пројекат 0901-П26:",'ПО КОРИСНИЦИМА'!$L$16:$L$1823)</f>
        <v>0</v>
      </c>
      <c r="H377" s="254"/>
      <c r="I377" s="290"/>
      <c r="J377" s="255">
        <f t="shared" si="13"/>
        <v>0</v>
      </c>
      <c r="K377" s="255"/>
      <c r="L377" s="297"/>
    </row>
    <row r="378" spans="1:12" hidden="1" x14ac:dyDescent="0.2">
      <c r="A378" s="178"/>
      <c r="B378" s="185" t="s">
        <v>4534</v>
      </c>
      <c r="C378" s="262" t="str">
        <f>IFERROR(VLOOKUP(B378,'ПО КОРИСНИЦИМА'!$C$16:$S$1823,5,FALSE),"")</f>
        <v/>
      </c>
      <c r="D378" s="248">
        <f>SUMIF('ПО КОРИСНИЦИМА'!$G$16:$G$1823,"Свега за пројекат 0901-П27:",'ПО КОРИСНИЦИМА'!$H$16:$H$1823)</f>
        <v>0</v>
      </c>
      <c r="E378" s="248"/>
      <c r="F378" s="280"/>
      <c r="G378" s="249">
        <f>SUMIF('ПО КОРИСНИЦИМА'!$G$16:$G$1823,"Свега за пројекат 0901-П27:",'ПО КОРИСНИЦИМА'!$L$16:$L$1823)</f>
        <v>0</v>
      </c>
      <c r="H378" s="254"/>
      <c r="I378" s="290"/>
      <c r="J378" s="255">
        <f t="shared" si="13"/>
        <v>0</v>
      </c>
      <c r="K378" s="255"/>
      <c r="L378" s="297"/>
    </row>
    <row r="379" spans="1:12" hidden="1" x14ac:dyDescent="0.2">
      <c r="A379" s="178"/>
      <c r="B379" s="185" t="s">
        <v>4535</v>
      </c>
      <c r="C379" s="262" t="str">
        <f>IFERROR(VLOOKUP(B379,'ПО КОРИСНИЦИМА'!$C$16:$S$1823,5,FALSE),"")</f>
        <v/>
      </c>
      <c r="D379" s="248">
        <f>SUMIF('ПО КОРИСНИЦИМА'!$G$16:$G$1823,"Свега за пројекат 0901-П28:",'ПО КОРИСНИЦИМА'!$H$16:$H$1823)</f>
        <v>0</v>
      </c>
      <c r="E379" s="248"/>
      <c r="F379" s="280"/>
      <c r="G379" s="249">
        <f>SUMIF('ПО КОРИСНИЦИМА'!$G$16:$G$1823,"Свега за пројекат 0901-П28:",'ПО КОРИСНИЦИМА'!$L$16:$L$1823)</f>
        <v>0</v>
      </c>
      <c r="H379" s="254"/>
      <c r="I379" s="290"/>
      <c r="J379" s="255">
        <f t="shared" si="13"/>
        <v>0</v>
      </c>
      <c r="K379" s="255"/>
      <c r="L379" s="297"/>
    </row>
    <row r="380" spans="1:12" hidden="1" x14ac:dyDescent="0.2">
      <c r="A380" s="178"/>
      <c r="B380" s="185" t="s">
        <v>4536</v>
      </c>
      <c r="C380" s="262" t="str">
        <f>IFERROR(VLOOKUP(B380,'ПО КОРИСНИЦИМА'!$C$16:$S$1823,5,FALSE),"")</f>
        <v/>
      </c>
      <c r="D380" s="248">
        <f>SUMIF('ПО КОРИСНИЦИМА'!$G$16:$G$1823,"Свега за пројекат 0901-П29:",'ПО КОРИСНИЦИМА'!$H$16:$H$1823)</f>
        <v>0</v>
      </c>
      <c r="E380" s="248"/>
      <c r="F380" s="280"/>
      <c r="G380" s="249">
        <f>SUMIF('ПО КОРИСНИЦИМА'!$G$16:$G$1823,"Свега за пројекат 0901-П29:",'ПО КОРИСНИЦИМА'!$L$16:$L$1823)</f>
        <v>0</v>
      </c>
      <c r="H380" s="254"/>
      <c r="I380" s="290"/>
      <c r="J380" s="255">
        <f t="shared" si="13"/>
        <v>0</v>
      </c>
      <c r="K380" s="255"/>
      <c r="L380" s="297"/>
    </row>
    <row r="381" spans="1:12" hidden="1" x14ac:dyDescent="0.2">
      <c r="A381" s="178"/>
      <c r="B381" s="185" t="s">
        <v>4537</v>
      </c>
      <c r="C381" s="262" t="str">
        <f>IFERROR(VLOOKUP(B381,'ПО КОРИСНИЦИМА'!$C$16:$S$1823,5,FALSE),"")</f>
        <v/>
      </c>
      <c r="D381" s="248">
        <f>SUMIF('ПО КОРИСНИЦИМА'!$G$16:$G$1823,"Свега за пројекат 0901-П30:",'ПО КОРИСНИЦИМА'!$H$16:$H$1823)</f>
        <v>0</v>
      </c>
      <c r="E381" s="248"/>
      <c r="F381" s="280"/>
      <c r="G381" s="249">
        <f>SUMIF('ПО КОРИСНИЦИМА'!$G$16:$G$1823,"Свега за пројекат 0901-П30:",'ПО КОРИСНИЦИМА'!$L$16:$L$1823)</f>
        <v>0</v>
      </c>
      <c r="H381" s="254"/>
      <c r="I381" s="290"/>
      <c r="J381" s="255">
        <f t="shared" si="13"/>
        <v>0</v>
      </c>
      <c r="K381" s="255"/>
      <c r="L381" s="297"/>
    </row>
    <row r="382" spans="1:12" s="180" customFormat="1" ht="25.5" x14ac:dyDescent="0.2">
      <c r="A382" s="173" t="s">
        <v>3594</v>
      </c>
      <c r="B382" s="174"/>
      <c r="C382" s="260" t="s">
        <v>3678</v>
      </c>
      <c r="D382" s="242">
        <f>SUM(D383:D414)</f>
        <v>11450000</v>
      </c>
      <c r="E382" s="242">
        <f>SUM(E383:E385)</f>
        <v>12397914.209999999</v>
      </c>
      <c r="F382" s="282">
        <f>E382/D382</f>
        <v>1.0827872672489083</v>
      </c>
      <c r="G382" s="243">
        <f>SUM(G383:G414)</f>
        <v>0</v>
      </c>
      <c r="H382" s="243">
        <f>SUM(H383:H414)</f>
        <v>0</v>
      </c>
      <c r="I382" s="289"/>
      <c r="J382" s="242">
        <f t="shared" ref="J382:J447" si="16">D382+G382</f>
        <v>11450000</v>
      </c>
      <c r="K382" s="242">
        <f>E382+H382</f>
        <v>12397914.209999999</v>
      </c>
      <c r="L382" s="282">
        <f>K382/J382</f>
        <v>1.0827872672489083</v>
      </c>
    </row>
    <row r="383" spans="1:12" ht="25.5" x14ac:dyDescent="0.2">
      <c r="A383" s="176"/>
      <c r="B383" s="181" t="s">
        <v>4078</v>
      </c>
      <c r="C383" s="267" t="s">
        <v>4075</v>
      </c>
      <c r="D383" s="244">
        <f>SUMIF('ПО КОРИСНИЦИМА'!$G$16:$G$1823,"Свега за програмску активност 1801-0001:",'ПО КОРИСНИЦИМА'!$H$16:$H$1823)</f>
        <v>11000000</v>
      </c>
      <c r="E383" s="244">
        <f>SUMIF('ПО КОРИСНИЦИМА'!$G$16:$G$1823,"Свега за програмску активност 1801-0001:",'ПО КОРИСНИЦИМА'!$I$16:$I$1823)</f>
        <v>11883357.209999999</v>
      </c>
      <c r="F383" s="278">
        <f>E383/D383</f>
        <v>1.0803052009090908</v>
      </c>
      <c r="G383" s="245">
        <f>SUMIF('ПО КОРИСНИЦИМА'!$G$16:$G$1823,"Свега за програмску активност 1801-0001:",'ПО КОРИСНИЦИМА'!$L$16:$L$1823)</f>
        <v>0</v>
      </c>
      <c r="H383" s="245">
        <f>SUMIF('ПО КОРИСНИЦИМА'!$G$16:$G$1823,"Свега за програмску активност 1801-0001:",'ПО КОРИСНИЦИМА'!$M$16:$M$1823)</f>
        <v>0</v>
      </c>
      <c r="I383" s="285"/>
      <c r="J383" s="244">
        <f t="shared" si="16"/>
        <v>11000000</v>
      </c>
      <c r="K383" s="244">
        <f>E383+H383</f>
        <v>11883357.209999999</v>
      </c>
      <c r="L383" s="278">
        <f>K383/J383</f>
        <v>1.0803052009090908</v>
      </c>
    </row>
    <row r="384" spans="1:12" x14ac:dyDescent="0.2">
      <c r="A384" s="176"/>
      <c r="B384" s="181" t="s">
        <v>4977</v>
      </c>
      <c r="C384" s="267" t="s">
        <v>4978</v>
      </c>
      <c r="D384" s="244">
        <f>SUMIF('ПО КОРИСНИЦИМА'!$G$16:$G$1823,"Свега за програмску активност 1801-0002:",'ПО КОРИСНИЦИМА'!$H$16:$H$1823)</f>
        <v>450000</v>
      </c>
      <c r="E384" s="244">
        <f>SUMIF('ПО КОРИСНИЦИМА'!$G$16:$G$1823,"Свега за програмску активност 1801-0002:",'ПО КОРИСНИЦИМА'!$I$16:$I$1823)</f>
        <v>514557</v>
      </c>
      <c r="F384" s="278">
        <f>E384/D384</f>
        <v>1.1434599999999999</v>
      </c>
      <c r="G384" s="245">
        <f>SUMIF('ПО КОРИСНИЦИМА'!$G$16:$G$1823,"Свега за програмску активност 1801-0002:",'ПО КОРИСНИЦИМА'!$L$16:$L$1823)</f>
        <v>0</v>
      </c>
      <c r="H384" s="245">
        <f>SUMIF('ПО КОРИСНИЦИМА'!$G$16:$G$1823,"Свега за програмску активност 1801-0002:",'ПО КОРИСНИЦИМА'!$M$16:$M$1823)</f>
        <v>0</v>
      </c>
      <c r="I384" s="285"/>
      <c r="J384" s="244">
        <f>D384+G384</f>
        <v>450000</v>
      </c>
      <c r="K384" s="244"/>
      <c r="L384" s="278"/>
    </row>
    <row r="385" spans="1:12" ht="25.5" hidden="1" x14ac:dyDescent="0.2">
      <c r="A385" s="182"/>
      <c r="B385" s="185" t="s">
        <v>4538</v>
      </c>
      <c r="C385" s="262" t="str">
        <f>IFERROR(VLOOKUP(B385,'ПО КОРИСНИЦИМА'!$C$16:$S$1823,5,FALSE),"")</f>
        <v>Набавка санитетског возила за потребе Дома Здравља Владимирци</v>
      </c>
      <c r="D385" s="248">
        <f>SUMIF('ПО КОРИСНИЦИМА'!$G$16:$G$1823,"Свега за пројекат 1801-П1:",'ПО КОРИСНИЦИМА'!$H$16:$H$1823)</f>
        <v>0</v>
      </c>
      <c r="E385" s="248">
        <f>SUMIF('ПО КОРИСНИЦИМА'!$G$16:$G$1823,"Свега за пројекат 1801-П1:",'ПО КОРИСНИЦИМА'!$I$16:$I$1823)</f>
        <v>0</v>
      </c>
      <c r="F385" s="280"/>
      <c r="G385" s="249">
        <f>SUMIF('ПО КОРИСНИЦИМА'!$G$16:$G$1823,"Свега за пројекат 1801-П1:",'ПО КОРИСНИЦИМА'!$L$16:$L$1823)</f>
        <v>0</v>
      </c>
      <c r="H385" s="249">
        <v>0</v>
      </c>
      <c r="I385" s="287"/>
      <c r="J385" s="246">
        <f t="shared" si="16"/>
        <v>0</v>
      </c>
      <c r="K385" s="246"/>
      <c r="L385" s="279"/>
    </row>
    <row r="386" spans="1:12" hidden="1" x14ac:dyDescent="0.2">
      <c r="A386" s="182"/>
      <c r="B386" s="182" t="s">
        <v>4539</v>
      </c>
      <c r="C386" s="262" t="str">
        <f>IFERROR(VLOOKUP(B386,'ПО КОРИСНИЦИМА'!$C$16:$S$1823,5,FALSE),"")</f>
        <v/>
      </c>
      <c r="D386" s="248">
        <f>SUMIF('ПО КОРИСНИЦИМА'!$G$16:$G$1823,"Свега за пројекат 1801-П2:",'ПО КОРИСНИЦИМА'!$H$16:$H$1823)</f>
        <v>0</v>
      </c>
      <c r="E386" s="248"/>
      <c r="F386" s="280"/>
      <c r="G386" s="249">
        <f>SUMIF('ПО КОРИСНИЦИМА'!$G$16:$G$1823,"Свега за пројекат 1801-П2:",'ПО КОРИСНИЦИМА'!$L$16:$L$1823)</f>
        <v>0</v>
      </c>
      <c r="H386" s="249"/>
      <c r="I386" s="287"/>
      <c r="J386" s="246">
        <f t="shared" si="16"/>
        <v>0</v>
      </c>
      <c r="K386" s="246"/>
      <c r="L386" s="279"/>
    </row>
    <row r="387" spans="1:12" hidden="1" x14ac:dyDescent="0.2">
      <c r="A387" s="182"/>
      <c r="B387" s="182" t="s">
        <v>4540</v>
      </c>
      <c r="C387" s="262" t="str">
        <f>IFERROR(VLOOKUP(B387,'ПО КОРИСНИЦИМА'!$C$16:$S$1823,5,FALSE),"")</f>
        <v/>
      </c>
      <c r="D387" s="248">
        <f>SUMIF('ПО КОРИСНИЦИМА'!$G$16:$G$1823,"Свега за пројекат 1801-П3:",'ПО КОРИСНИЦИМА'!$H$16:$H$1823)</f>
        <v>0</v>
      </c>
      <c r="E387" s="248"/>
      <c r="F387" s="280"/>
      <c r="G387" s="249">
        <f>SUMIF('ПО КОРИСНИЦИМА'!$G$16:$G$1823,"Свега за пројекат 1801-П3:",'ПО КОРИСНИЦИМА'!$L$16:$L$1823)</f>
        <v>0</v>
      </c>
      <c r="H387" s="249"/>
      <c r="I387" s="287"/>
      <c r="J387" s="246">
        <f t="shared" si="16"/>
        <v>0</v>
      </c>
      <c r="K387" s="246"/>
      <c r="L387" s="279"/>
    </row>
    <row r="388" spans="1:12" hidden="1" x14ac:dyDescent="0.2">
      <c r="A388" s="182"/>
      <c r="B388" s="182" t="s">
        <v>4541</v>
      </c>
      <c r="C388" s="262" t="str">
        <f>IFERROR(VLOOKUP(B388,'ПО КОРИСНИЦИМА'!$C$16:$S$1823,5,FALSE),"")</f>
        <v/>
      </c>
      <c r="D388" s="248">
        <f>SUMIF('ПО КОРИСНИЦИМА'!$G$16:$G$1823,"Свега за пројекат 1801-П4:",'ПО КОРИСНИЦИМА'!$H$16:$H$1823)</f>
        <v>0</v>
      </c>
      <c r="E388" s="248"/>
      <c r="F388" s="280"/>
      <c r="G388" s="249">
        <f>SUMIF('ПО КОРИСНИЦИМА'!$G$16:$G$1823,"Свега за пројекат 1801-П4:",'ПО КОРИСНИЦИМА'!$L$16:$L$1823)</f>
        <v>0</v>
      </c>
      <c r="H388" s="249"/>
      <c r="I388" s="287"/>
      <c r="J388" s="246">
        <f t="shared" si="16"/>
        <v>0</v>
      </c>
      <c r="K388" s="246"/>
      <c r="L388" s="279"/>
    </row>
    <row r="389" spans="1:12" hidden="1" x14ac:dyDescent="0.2">
      <c r="A389" s="182"/>
      <c r="B389" s="182" t="s">
        <v>4542</v>
      </c>
      <c r="C389" s="262" t="str">
        <f>IFERROR(VLOOKUP(B389,'ПО КОРИСНИЦИМА'!$C$16:$S$1823,5,FALSE),"")</f>
        <v/>
      </c>
      <c r="D389" s="248">
        <f>SUMIF('ПО КОРИСНИЦИМА'!$G$16:$G$1823,"Свега за пројекат 1801-П5:",'ПО КОРИСНИЦИМА'!$H$16:$H$1823)</f>
        <v>0</v>
      </c>
      <c r="E389" s="248"/>
      <c r="F389" s="280"/>
      <c r="G389" s="249">
        <f>SUMIF('ПО КОРИСНИЦИМА'!$G$16:$G$1823,"Свега за пројекат 1801-П5:",'ПО КОРИСНИЦИМА'!$L$16:$L$1823)</f>
        <v>0</v>
      </c>
      <c r="H389" s="249"/>
      <c r="I389" s="287"/>
      <c r="J389" s="246">
        <f t="shared" si="16"/>
        <v>0</v>
      </c>
      <c r="K389" s="246"/>
      <c r="L389" s="279"/>
    </row>
    <row r="390" spans="1:12" hidden="1" x14ac:dyDescent="0.2">
      <c r="A390" s="182"/>
      <c r="B390" s="182" t="s">
        <v>4543</v>
      </c>
      <c r="C390" s="262" t="str">
        <f>IFERROR(VLOOKUP(B390,'ПО КОРИСНИЦИМА'!$C$16:$S$1823,5,FALSE),"")</f>
        <v/>
      </c>
      <c r="D390" s="248">
        <f>SUMIF('ПО КОРИСНИЦИМА'!$G$16:$G$1823,"Свега за пројекат 1801-П6:",'ПО КОРИСНИЦИМА'!$H$16:$H$1823)</f>
        <v>0</v>
      </c>
      <c r="E390" s="248"/>
      <c r="F390" s="280"/>
      <c r="G390" s="249">
        <f>SUMIF('ПО КОРИСНИЦИМА'!$G$16:$G$1823,"Свега за пројекат 1801-П6:",'ПО КОРИСНИЦИМА'!$L$16:$L$1823)</f>
        <v>0</v>
      </c>
      <c r="H390" s="249"/>
      <c r="I390" s="287"/>
      <c r="J390" s="246">
        <f t="shared" si="16"/>
        <v>0</v>
      </c>
      <c r="K390" s="246"/>
      <c r="L390" s="279"/>
    </row>
    <row r="391" spans="1:12" hidden="1" x14ac:dyDescent="0.2">
      <c r="A391" s="182"/>
      <c r="B391" s="182" t="s">
        <v>4544</v>
      </c>
      <c r="C391" s="262" t="str">
        <f>IFERROR(VLOOKUP(B391,'ПО КОРИСНИЦИМА'!$C$16:$S$1823,5,FALSE),"")</f>
        <v/>
      </c>
      <c r="D391" s="248">
        <f>SUMIF('ПО КОРИСНИЦИМА'!$G$16:$G$1823,"Свега за пројекат 1801-П7:",'ПО КОРИСНИЦИМА'!$H$16:$H$1823)</f>
        <v>0</v>
      </c>
      <c r="E391" s="248"/>
      <c r="F391" s="280"/>
      <c r="G391" s="249">
        <f>SUMIF('ПО КОРИСНИЦИМА'!$G$16:$G$1823,"Свега за пројекат 1801-П7:",'ПО КОРИСНИЦИМА'!$L$16:$L$1823)</f>
        <v>0</v>
      </c>
      <c r="H391" s="249"/>
      <c r="I391" s="287"/>
      <c r="J391" s="246">
        <f t="shared" si="16"/>
        <v>0</v>
      </c>
      <c r="K391" s="246"/>
      <c r="L391" s="279"/>
    </row>
    <row r="392" spans="1:12" hidden="1" x14ac:dyDescent="0.2">
      <c r="A392" s="182"/>
      <c r="B392" s="182" t="s">
        <v>4545</v>
      </c>
      <c r="C392" s="262" t="str">
        <f>IFERROR(VLOOKUP(B392,'ПО КОРИСНИЦИМА'!$C$16:$S$1823,5,FALSE),"")</f>
        <v/>
      </c>
      <c r="D392" s="248">
        <f>SUMIF('ПО КОРИСНИЦИМА'!$G$16:$G$1823,"Свега за пројекат 1801-П8:",'ПО КОРИСНИЦИМА'!$H$16:$H$1823)</f>
        <v>0</v>
      </c>
      <c r="E392" s="248"/>
      <c r="F392" s="280"/>
      <c r="G392" s="249">
        <f>SUMIF('ПО КОРИСНИЦИМА'!$G$16:$G$1823,"Свега за пројекат 1801-П8:",'ПО КОРИСНИЦИМА'!$L$16:$L$1823)</f>
        <v>0</v>
      </c>
      <c r="H392" s="249"/>
      <c r="I392" s="287"/>
      <c r="J392" s="246">
        <f t="shared" si="16"/>
        <v>0</v>
      </c>
      <c r="K392" s="246"/>
      <c r="L392" s="279"/>
    </row>
    <row r="393" spans="1:12" hidden="1" x14ac:dyDescent="0.2">
      <c r="A393" s="182"/>
      <c r="B393" s="182" t="s">
        <v>4546</v>
      </c>
      <c r="C393" s="262" t="str">
        <f>IFERROR(VLOOKUP(B393,'ПО КОРИСНИЦИМА'!$C$16:$S$1823,5,FALSE),"")</f>
        <v/>
      </c>
      <c r="D393" s="248">
        <f>SUMIF('ПО КОРИСНИЦИМА'!$G$16:$G$1823,"Свега за пројекат 1801-П9:",'ПО КОРИСНИЦИМА'!$H$16:$H$1823)</f>
        <v>0</v>
      </c>
      <c r="E393" s="248"/>
      <c r="F393" s="280"/>
      <c r="G393" s="249">
        <f>SUMIF('ПО КОРИСНИЦИМА'!$G$16:$G$1823,"Свега за пројекат 1801-П9:",'ПО КОРИСНИЦИМА'!$L$16:$L$1823)</f>
        <v>0</v>
      </c>
      <c r="H393" s="249"/>
      <c r="I393" s="287"/>
      <c r="J393" s="246">
        <f t="shared" si="16"/>
        <v>0</v>
      </c>
      <c r="K393" s="246"/>
      <c r="L393" s="279"/>
    </row>
    <row r="394" spans="1:12" hidden="1" x14ac:dyDescent="0.2">
      <c r="A394" s="182"/>
      <c r="B394" s="182" t="s">
        <v>4547</v>
      </c>
      <c r="C394" s="262" t="str">
        <f>IFERROR(VLOOKUP(B394,'ПО КОРИСНИЦИМА'!$C$16:$S$1823,5,FALSE),"")</f>
        <v/>
      </c>
      <c r="D394" s="248">
        <f>SUMIF('ПО КОРИСНИЦИМА'!$G$16:$G$1823,"Свега за пројекат 1801-П10:",'ПО КОРИСНИЦИМА'!$H$16:$H$1823)</f>
        <v>0</v>
      </c>
      <c r="E394" s="248"/>
      <c r="F394" s="280"/>
      <c r="G394" s="249">
        <f>SUMIF('ПО КОРИСНИЦИМА'!$G$16:$G$1823,"Свега за пројекат 1801-П10:",'ПО КОРИСНИЦИМА'!$L$16:$L$1823)</f>
        <v>0</v>
      </c>
      <c r="H394" s="249"/>
      <c r="I394" s="287"/>
      <c r="J394" s="246">
        <f t="shared" si="16"/>
        <v>0</v>
      </c>
      <c r="K394" s="246"/>
      <c r="L394" s="279"/>
    </row>
    <row r="395" spans="1:12" hidden="1" x14ac:dyDescent="0.2">
      <c r="A395" s="182"/>
      <c r="B395" s="182" t="s">
        <v>4548</v>
      </c>
      <c r="C395" s="262" t="str">
        <f>IFERROR(VLOOKUP(B395,'ПО КОРИСНИЦИМА'!$C$16:$S$1823,5,FALSE),"")</f>
        <v/>
      </c>
      <c r="D395" s="248">
        <f>SUMIF('ПО КОРИСНИЦИМА'!$G$16:$G$1823,"Свега за пројекат 1801-П11:",'ПО КОРИСНИЦИМА'!$H$16:$H$1823)</f>
        <v>0</v>
      </c>
      <c r="E395" s="248"/>
      <c r="F395" s="280"/>
      <c r="G395" s="249">
        <f>SUMIF('ПО КОРИСНИЦИМА'!$G$16:$G$1823,"Свега за пројекат 1801-П11:",'ПО КОРИСНИЦИМА'!$L$16:$L$1823)</f>
        <v>0</v>
      </c>
      <c r="H395" s="249"/>
      <c r="I395" s="287"/>
      <c r="J395" s="246">
        <f t="shared" si="16"/>
        <v>0</v>
      </c>
      <c r="K395" s="246"/>
      <c r="L395" s="279"/>
    </row>
    <row r="396" spans="1:12" hidden="1" x14ac:dyDescent="0.2">
      <c r="A396" s="182"/>
      <c r="B396" s="182" t="s">
        <v>4549</v>
      </c>
      <c r="C396" s="262" t="str">
        <f>IFERROR(VLOOKUP(B396,'ПО КОРИСНИЦИМА'!$C$16:$S$1823,5,FALSE),"")</f>
        <v/>
      </c>
      <c r="D396" s="248">
        <f>SUMIF('ПО КОРИСНИЦИМА'!$G$16:$G$1823,"Свега за пројекат 1801-П12:",'ПО КОРИСНИЦИМА'!$H$16:$H$1823)</f>
        <v>0</v>
      </c>
      <c r="E396" s="248"/>
      <c r="F396" s="280"/>
      <c r="G396" s="249">
        <f>SUMIF('ПО КОРИСНИЦИМА'!$G$16:$G$1823,"Свега за пројекат 1801-П12:",'ПО КОРИСНИЦИМА'!$L$16:$L$1823)</f>
        <v>0</v>
      </c>
      <c r="H396" s="249"/>
      <c r="I396" s="287"/>
      <c r="J396" s="246">
        <f t="shared" si="16"/>
        <v>0</v>
      </c>
      <c r="K396" s="246"/>
      <c r="L396" s="279"/>
    </row>
    <row r="397" spans="1:12" hidden="1" x14ac:dyDescent="0.2">
      <c r="A397" s="182"/>
      <c r="B397" s="182" t="s">
        <v>4550</v>
      </c>
      <c r="C397" s="262" t="str">
        <f>IFERROR(VLOOKUP(B397,'ПО КОРИСНИЦИМА'!$C$16:$S$1823,5,FALSE),"")</f>
        <v/>
      </c>
      <c r="D397" s="248">
        <f>SUMIF('ПО КОРИСНИЦИМА'!$G$16:$G$1823,"Свега за пројекат 1801-П13:",'ПО КОРИСНИЦИМА'!$H$16:$H$1823)</f>
        <v>0</v>
      </c>
      <c r="E397" s="248"/>
      <c r="F397" s="280"/>
      <c r="G397" s="249">
        <f>SUMIF('ПО КОРИСНИЦИМА'!$G$16:$G$1823,"Свега за пројекат 1801-П13:",'ПО КОРИСНИЦИМА'!$L$16:$L$1823)</f>
        <v>0</v>
      </c>
      <c r="H397" s="249"/>
      <c r="I397" s="287"/>
      <c r="J397" s="246">
        <f t="shared" si="16"/>
        <v>0</v>
      </c>
      <c r="K397" s="246"/>
      <c r="L397" s="279"/>
    </row>
    <row r="398" spans="1:12" hidden="1" x14ac:dyDescent="0.2">
      <c r="A398" s="182"/>
      <c r="B398" s="182" t="s">
        <v>4551</v>
      </c>
      <c r="C398" s="262" t="str">
        <f>IFERROR(VLOOKUP(B398,'ПО КОРИСНИЦИМА'!$C$16:$S$1823,5,FALSE),"")</f>
        <v/>
      </c>
      <c r="D398" s="248">
        <f>SUMIF('ПО КОРИСНИЦИМА'!$G$16:$G$1823,"Свега за пројекат 1801-П14:",'ПО КОРИСНИЦИМА'!$H$16:$H$1823)</f>
        <v>0</v>
      </c>
      <c r="E398" s="248"/>
      <c r="F398" s="280"/>
      <c r="G398" s="249">
        <f>SUMIF('ПО КОРИСНИЦИМА'!$G$16:$G$1823,"Свега за пројекат 1801-П14:",'ПО КОРИСНИЦИМА'!$L$16:$L$1823)</f>
        <v>0</v>
      </c>
      <c r="H398" s="249"/>
      <c r="I398" s="287"/>
      <c r="J398" s="246">
        <f t="shared" si="16"/>
        <v>0</v>
      </c>
      <c r="K398" s="246"/>
      <c r="L398" s="279"/>
    </row>
    <row r="399" spans="1:12" hidden="1" x14ac:dyDescent="0.2">
      <c r="A399" s="182"/>
      <c r="B399" s="182" t="s">
        <v>4552</v>
      </c>
      <c r="C399" s="262" t="str">
        <f>IFERROR(VLOOKUP(B399,'ПО КОРИСНИЦИМА'!$C$16:$S$1823,5,FALSE),"")</f>
        <v/>
      </c>
      <c r="D399" s="248">
        <f>SUMIF('ПО КОРИСНИЦИМА'!$G$16:$G$1823,"Свега за пројекат 1801-П15:",'ПО КОРИСНИЦИМА'!$H$16:$H$1823)</f>
        <v>0</v>
      </c>
      <c r="E399" s="248"/>
      <c r="F399" s="280"/>
      <c r="G399" s="249">
        <f>SUMIF('ПО КОРИСНИЦИМА'!$G$16:$G$1823,"Свега за пројекат 1801-П15:",'ПО КОРИСНИЦИМА'!$L$16:$L$1823)</f>
        <v>0</v>
      </c>
      <c r="H399" s="249"/>
      <c r="I399" s="287"/>
      <c r="J399" s="246">
        <f t="shared" si="16"/>
        <v>0</v>
      </c>
      <c r="K399" s="246"/>
      <c r="L399" s="279"/>
    </row>
    <row r="400" spans="1:12" hidden="1" x14ac:dyDescent="0.2">
      <c r="A400" s="182"/>
      <c r="B400" s="182" t="s">
        <v>4553</v>
      </c>
      <c r="C400" s="262" t="str">
        <f>IFERROR(VLOOKUP(B400,'ПО КОРИСНИЦИМА'!$C$16:$S$1823,5,FALSE),"")</f>
        <v/>
      </c>
      <c r="D400" s="248">
        <f>SUMIF('ПО КОРИСНИЦИМА'!$G$16:$G$1823,"Свега за пројекат 1801-П16:",'ПО КОРИСНИЦИМА'!$H$16:$H$1823)</f>
        <v>0</v>
      </c>
      <c r="E400" s="248"/>
      <c r="F400" s="280"/>
      <c r="G400" s="249">
        <f>SUMIF('ПО КОРИСНИЦИМА'!$G$16:$G$1823,"Свега за пројекат 1801-П16:",'ПО КОРИСНИЦИМА'!$L$16:$L$1823)</f>
        <v>0</v>
      </c>
      <c r="H400" s="249"/>
      <c r="I400" s="287"/>
      <c r="J400" s="246">
        <f t="shared" si="16"/>
        <v>0</v>
      </c>
      <c r="K400" s="246"/>
      <c r="L400" s="279"/>
    </row>
    <row r="401" spans="1:13" hidden="1" x14ac:dyDescent="0.2">
      <c r="A401" s="182"/>
      <c r="B401" s="182" t="s">
        <v>4554</v>
      </c>
      <c r="C401" s="262" t="str">
        <f>IFERROR(VLOOKUP(B401,'ПО КОРИСНИЦИМА'!$C$16:$S$1823,5,FALSE),"")</f>
        <v/>
      </c>
      <c r="D401" s="248">
        <f>SUMIF('ПО КОРИСНИЦИМА'!$G$16:$G$1823,"Свега за пројекат 1801-П17:",'ПО КОРИСНИЦИМА'!$H$16:$H$1823)</f>
        <v>0</v>
      </c>
      <c r="E401" s="248"/>
      <c r="F401" s="280"/>
      <c r="G401" s="249">
        <f>SUMIF('ПО КОРИСНИЦИМА'!$G$16:$G$1823,"Свега за пројекат 1801-П17:",'ПО КОРИСНИЦИМА'!$L$16:$L$1823)</f>
        <v>0</v>
      </c>
      <c r="H401" s="249"/>
      <c r="I401" s="287"/>
      <c r="J401" s="246">
        <f t="shared" si="16"/>
        <v>0</v>
      </c>
      <c r="K401" s="246"/>
      <c r="L401" s="279"/>
    </row>
    <row r="402" spans="1:13" hidden="1" x14ac:dyDescent="0.2">
      <c r="A402" s="182"/>
      <c r="B402" s="182" t="s">
        <v>4555</v>
      </c>
      <c r="C402" s="262" t="str">
        <f>IFERROR(VLOOKUP(B402,'ПО КОРИСНИЦИМА'!$C$16:$S$1823,5,FALSE),"")</f>
        <v/>
      </c>
      <c r="D402" s="248">
        <f>SUMIF('ПО КОРИСНИЦИМА'!$G$16:$G$1823,"Свега за пројекат 1801-П18:",'ПО КОРИСНИЦИМА'!$H$16:$H$1823)</f>
        <v>0</v>
      </c>
      <c r="E402" s="248"/>
      <c r="F402" s="280"/>
      <c r="G402" s="249">
        <f>SUMIF('ПО КОРИСНИЦИМА'!$G$16:$G$1823,"Свега за пројекат 1801-П18:",'ПО КОРИСНИЦИМА'!$L$16:$L$1823)</f>
        <v>0</v>
      </c>
      <c r="H402" s="249"/>
      <c r="I402" s="287"/>
      <c r="J402" s="246">
        <f t="shared" si="16"/>
        <v>0</v>
      </c>
      <c r="K402" s="246"/>
      <c r="L402" s="279"/>
    </row>
    <row r="403" spans="1:13" hidden="1" x14ac:dyDescent="0.2">
      <c r="A403" s="182"/>
      <c r="B403" s="182" t="s">
        <v>4556</v>
      </c>
      <c r="C403" s="262" t="str">
        <f>IFERROR(VLOOKUP(B403,'ПО КОРИСНИЦИМА'!$C$16:$S$1823,5,FALSE),"")</f>
        <v/>
      </c>
      <c r="D403" s="248">
        <f>SUMIF('ПО КОРИСНИЦИМА'!$G$16:$G$1823,"Свега за пројекат 1801-П19:",'ПО КОРИСНИЦИМА'!$H$16:$H$1823)</f>
        <v>0</v>
      </c>
      <c r="E403" s="248"/>
      <c r="F403" s="280"/>
      <c r="G403" s="249">
        <f>SUMIF('ПО КОРИСНИЦИМА'!$G$16:$G$1823,"Свега за пројекат 1801-П19:",'ПО КОРИСНИЦИМА'!$L$16:$L$1823)</f>
        <v>0</v>
      </c>
      <c r="H403" s="249"/>
      <c r="I403" s="287"/>
      <c r="J403" s="246">
        <f t="shared" si="16"/>
        <v>0</v>
      </c>
      <c r="K403" s="246"/>
      <c r="L403" s="279"/>
    </row>
    <row r="404" spans="1:13" hidden="1" x14ac:dyDescent="0.2">
      <c r="A404" s="182"/>
      <c r="B404" s="182" t="s">
        <v>4557</v>
      </c>
      <c r="C404" s="262" t="str">
        <f>IFERROR(VLOOKUP(B404,'ПО КОРИСНИЦИМА'!$C$16:$S$1823,5,FALSE),"")</f>
        <v/>
      </c>
      <c r="D404" s="248">
        <f>SUMIF('ПО КОРИСНИЦИМА'!$G$16:$G$1823,"Свега за пројекат 1801-П20:",'ПО КОРИСНИЦИМА'!$H$16:$H$1823)</f>
        <v>0</v>
      </c>
      <c r="E404" s="248"/>
      <c r="F404" s="280"/>
      <c r="G404" s="249">
        <f>SUMIF('ПО КОРИСНИЦИМА'!$G$16:$G$1823,"Свега за пројекат 1801-П20:",'ПО КОРИСНИЦИМА'!$L$16:$L$1823)</f>
        <v>0</v>
      </c>
      <c r="H404" s="249"/>
      <c r="I404" s="287"/>
      <c r="J404" s="246">
        <f t="shared" si="16"/>
        <v>0</v>
      </c>
      <c r="K404" s="246"/>
      <c r="L404" s="279"/>
    </row>
    <row r="405" spans="1:13" hidden="1" x14ac:dyDescent="0.2">
      <c r="A405" s="182"/>
      <c r="B405" s="182" t="s">
        <v>4558</v>
      </c>
      <c r="C405" s="262" t="str">
        <f>IFERROR(VLOOKUP(B405,'ПО КОРИСНИЦИМА'!$C$16:$S$1823,5,FALSE),"")</f>
        <v/>
      </c>
      <c r="D405" s="248">
        <f>SUMIF('ПО КОРИСНИЦИМА'!$G$16:$G$1823,"Свега за пројекат 1801-П21:",'ПО КОРИСНИЦИМА'!$H$16:$H$1823)</f>
        <v>0</v>
      </c>
      <c r="E405" s="248"/>
      <c r="F405" s="280"/>
      <c r="G405" s="249">
        <f>SUMIF('ПО КОРИСНИЦИМА'!$G$16:$G$1823,"Свега за пројекат 1801-П21:",'ПО КОРИСНИЦИМА'!$L$16:$L$1823)</f>
        <v>0</v>
      </c>
      <c r="H405" s="249"/>
      <c r="I405" s="287"/>
      <c r="J405" s="246">
        <f t="shared" si="16"/>
        <v>0</v>
      </c>
      <c r="K405" s="246"/>
      <c r="L405" s="279"/>
    </row>
    <row r="406" spans="1:13" hidden="1" x14ac:dyDescent="0.2">
      <c r="A406" s="182"/>
      <c r="B406" s="182" t="s">
        <v>4559</v>
      </c>
      <c r="C406" s="262" t="str">
        <f>IFERROR(VLOOKUP(B406,'ПО КОРИСНИЦИМА'!$C$16:$S$1823,5,FALSE),"")</f>
        <v/>
      </c>
      <c r="D406" s="248">
        <f>SUMIF('ПО КОРИСНИЦИМА'!$G$16:$G$1823,"Свега за пројекат 1801-П22:",'ПО КОРИСНИЦИМА'!$H$16:$H$1823)</f>
        <v>0</v>
      </c>
      <c r="E406" s="248"/>
      <c r="F406" s="280"/>
      <c r="G406" s="249">
        <f>SUMIF('ПО КОРИСНИЦИМА'!$G$16:$G$1823,"Свега за пројекат 1801-П22:",'ПО КОРИСНИЦИМА'!$L$16:$L$1823)</f>
        <v>0</v>
      </c>
      <c r="H406" s="249"/>
      <c r="I406" s="287"/>
      <c r="J406" s="246">
        <f t="shared" si="16"/>
        <v>0</v>
      </c>
      <c r="K406" s="246"/>
      <c r="L406" s="279"/>
    </row>
    <row r="407" spans="1:13" hidden="1" x14ac:dyDescent="0.2">
      <c r="A407" s="182"/>
      <c r="B407" s="182" t="s">
        <v>4560</v>
      </c>
      <c r="C407" s="262" t="str">
        <f>IFERROR(VLOOKUP(B407,'ПО КОРИСНИЦИМА'!$C$16:$S$1823,5,FALSE),"")</f>
        <v/>
      </c>
      <c r="D407" s="248">
        <f>SUMIF('ПО КОРИСНИЦИМА'!$G$16:$G$1823,"Свега за пројекат 1801-П23:",'ПО КОРИСНИЦИМА'!$H$16:$H$1823)</f>
        <v>0</v>
      </c>
      <c r="E407" s="248"/>
      <c r="F407" s="280"/>
      <c r="G407" s="249">
        <f>SUMIF('ПО КОРИСНИЦИМА'!$G$16:$G$1823,"Свега за пројекат 1801-П23:",'ПО КОРИСНИЦИМА'!$L$16:$L$1823)</f>
        <v>0</v>
      </c>
      <c r="H407" s="249"/>
      <c r="I407" s="287"/>
      <c r="J407" s="246">
        <f t="shared" si="16"/>
        <v>0</v>
      </c>
      <c r="K407" s="246"/>
      <c r="L407" s="279"/>
    </row>
    <row r="408" spans="1:13" hidden="1" x14ac:dyDescent="0.2">
      <c r="A408" s="182"/>
      <c r="B408" s="182" t="s">
        <v>4561</v>
      </c>
      <c r="C408" s="262" t="str">
        <f>IFERROR(VLOOKUP(B408,'ПО КОРИСНИЦИМА'!$C$16:$S$1823,5,FALSE),"")</f>
        <v/>
      </c>
      <c r="D408" s="248">
        <f>SUMIF('ПО КОРИСНИЦИМА'!$G$16:$G$1823,"Свега за пројекат 1801-П24:",'ПО КОРИСНИЦИМА'!$H$16:$H$1823)</f>
        <v>0</v>
      </c>
      <c r="E408" s="248"/>
      <c r="F408" s="280"/>
      <c r="G408" s="249">
        <f>SUMIF('ПО КОРИСНИЦИМА'!$G$16:$G$1823,"Свега за пројекат 1801-П24:",'ПО КОРИСНИЦИМА'!$L$16:$L$1823)</f>
        <v>0</v>
      </c>
      <c r="H408" s="249"/>
      <c r="I408" s="287"/>
      <c r="J408" s="246">
        <f t="shared" si="16"/>
        <v>0</v>
      </c>
      <c r="K408" s="246"/>
      <c r="L408" s="279"/>
    </row>
    <row r="409" spans="1:13" hidden="1" x14ac:dyDescent="0.2">
      <c r="A409" s="182"/>
      <c r="B409" s="182" t="s">
        <v>4562</v>
      </c>
      <c r="C409" s="262" t="str">
        <f>IFERROR(VLOOKUP(B409,'ПО КОРИСНИЦИМА'!$C$16:$S$1823,5,FALSE),"")</f>
        <v/>
      </c>
      <c r="D409" s="248">
        <f>SUMIF('ПО КОРИСНИЦИМА'!$G$16:$G$1823,"Свега за пројекат 1801-П25:",'ПО КОРИСНИЦИМА'!$H$16:$H$1823)</f>
        <v>0</v>
      </c>
      <c r="E409" s="248"/>
      <c r="F409" s="280"/>
      <c r="G409" s="249">
        <f>SUMIF('ПО КОРИСНИЦИМА'!$G$16:$G$1823,"Свега за пројекат 1801-П25:",'ПО КОРИСНИЦИМА'!$L$16:$L$1823)</f>
        <v>0</v>
      </c>
      <c r="H409" s="249"/>
      <c r="I409" s="287"/>
      <c r="J409" s="246">
        <f t="shared" si="16"/>
        <v>0</v>
      </c>
      <c r="K409" s="246"/>
      <c r="L409" s="279"/>
    </row>
    <row r="410" spans="1:13" hidden="1" x14ac:dyDescent="0.2">
      <c r="A410" s="182"/>
      <c r="B410" s="182" t="s">
        <v>4563</v>
      </c>
      <c r="C410" s="262" t="str">
        <f>IFERROR(VLOOKUP(B410,'ПО КОРИСНИЦИМА'!$C$16:$S$1823,5,FALSE),"")</f>
        <v/>
      </c>
      <c r="D410" s="248">
        <f>SUMIF('ПО КОРИСНИЦИМА'!$G$16:$G$1823,"Свега за пројекат 1801-П26:",'ПО КОРИСНИЦИМА'!$H$16:$H$1823)</f>
        <v>0</v>
      </c>
      <c r="E410" s="248"/>
      <c r="F410" s="280"/>
      <c r="G410" s="249">
        <f>SUMIF('ПО КОРИСНИЦИМА'!$G$16:$G$1823,"Свега за пројекат 1801-П26:",'ПО КОРИСНИЦИМА'!$L$16:$L$1823)</f>
        <v>0</v>
      </c>
      <c r="H410" s="249"/>
      <c r="I410" s="287"/>
      <c r="J410" s="246">
        <f t="shared" si="16"/>
        <v>0</v>
      </c>
      <c r="K410" s="246"/>
      <c r="L410" s="279"/>
    </row>
    <row r="411" spans="1:13" hidden="1" x14ac:dyDescent="0.2">
      <c r="A411" s="182"/>
      <c r="B411" s="182" t="s">
        <v>4564</v>
      </c>
      <c r="C411" s="262" t="str">
        <f>IFERROR(VLOOKUP(B411,'ПО КОРИСНИЦИМА'!$C$16:$S$1823,5,FALSE),"")</f>
        <v/>
      </c>
      <c r="D411" s="248">
        <f>SUMIF('ПО КОРИСНИЦИМА'!$G$16:$G$1823,"Свега за пројекат 1801-П27:",'ПО КОРИСНИЦИМА'!$H$16:$H$1823)</f>
        <v>0</v>
      </c>
      <c r="E411" s="248"/>
      <c r="F411" s="280"/>
      <c r="G411" s="249">
        <f>SUMIF('ПО КОРИСНИЦИМА'!$G$16:$G$1823,"Свега за пројекат 1801-П27:",'ПО КОРИСНИЦИМА'!$L$16:$L$1823)</f>
        <v>0</v>
      </c>
      <c r="H411" s="249"/>
      <c r="I411" s="287"/>
      <c r="J411" s="246">
        <f t="shared" si="16"/>
        <v>0</v>
      </c>
      <c r="K411" s="246"/>
      <c r="L411" s="279"/>
    </row>
    <row r="412" spans="1:13" hidden="1" x14ac:dyDescent="0.2">
      <c r="A412" s="182"/>
      <c r="B412" s="182" t="s">
        <v>4565</v>
      </c>
      <c r="C412" s="262" t="str">
        <f>IFERROR(VLOOKUP(B412,'ПО КОРИСНИЦИМА'!$C$16:$S$1823,5,FALSE),"")</f>
        <v/>
      </c>
      <c r="D412" s="248">
        <f>SUMIF('ПО КОРИСНИЦИМА'!$G$16:$G$1823,"Свега за пројекат 1801-П28:",'ПО КОРИСНИЦИМА'!$H$16:$H$1823)</f>
        <v>0</v>
      </c>
      <c r="E412" s="248"/>
      <c r="F412" s="280"/>
      <c r="G412" s="249">
        <f>SUMIF('ПО КОРИСНИЦИМА'!$G$16:$G$1823,"Свега за пројекат 1801-П28:",'ПО КОРИСНИЦИМА'!$L$16:$L$1823)</f>
        <v>0</v>
      </c>
      <c r="H412" s="249"/>
      <c r="I412" s="287"/>
      <c r="J412" s="246">
        <f t="shared" si="16"/>
        <v>0</v>
      </c>
      <c r="K412" s="246"/>
      <c r="L412" s="279"/>
    </row>
    <row r="413" spans="1:13" hidden="1" x14ac:dyDescent="0.2">
      <c r="A413" s="182"/>
      <c r="B413" s="182" t="s">
        <v>4566</v>
      </c>
      <c r="C413" s="262" t="str">
        <f>IFERROR(VLOOKUP(B413,'ПО КОРИСНИЦИМА'!$C$16:$S$1823,5,FALSE),"")</f>
        <v/>
      </c>
      <c r="D413" s="248">
        <f>SUMIF('ПО КОРИСНИЦИМА'!$G$16:$G$1823,"Свега за пројекат 1801-П29:",'ПО КОРИСНИЦИМА'!$H$16:$H$1823)</f>
        <v>0</v>
      </c>
      <c r="E413" s="248"/>
      <c r="F413" s="280"/>
      <c r="G413" s="249">
        <f>SUMIF('ПО КОРИСНИЦИМА'!$G$16:$G$1823,"Свега за пројекат 1801-П29:",'ПО КОРИСНИЦИМА'!$L$16:$L$1823)</f>
        <v>0</v>
      </c>
      <c r="H413" s="249"/>
      <c r="I413" s="287"/>
      <c r="J413" s="246">
        <f t="shared" si="16"/>
        <v>0</v>
      </c>
      <c r="K413" s="246"/>
      <c r="L413" s="279"/>
    </row>
    <row r="414" spans="1:13" hidden="1" x14ac:dyDescent="0.2">
      <c r="A414" s="183"/>
      <c r="B414" s="182" t="s">
        <v>4567</v>
      </c>
      <c r="C414" s="262" t="str">
        <f>IFERROR(VLOOKUP(B414,'ПО КОРИСНИЦИМА'!$C$16:$S$1823,5,FALSE),"")</f>
        <v/>
      </c>
      <c r="D414" s="248">
        <f>SUMIF('ПО КОРИСНИЦИМА'!$G$16:$G$1823,"Свега за пројекат 1801-П30:",'ПО КОРИСНИЦИМА'!$H$16:$H$1823)</f>
        <v>0</v>
      </c>
      <c r="E414" s="248"/>
      <c r="F414" s="280"/>
      <c r="G414" s="249">
        <f>SUMIF('ПО КОРИСНИЦИМА'!$G$16:$G$1823,"Свега за пројекат 1801-П30:",'ПО КОРИСНИЦИМА'!$L$16:$L$1823)</f>
        <v>0</v>
      </c>
      <c r="H414" s="249"/>
      <c r="I414" s="287"/>
      <c r="J414" s="246">
        <f t="shared" si="16"/>
        <v>0</v>
      </c>
      <c r="K414" s="272"/>
      <c r="L414" s="294"/>
    </row>
    <row r="415" spans="1:13" s="180" customFormat="1" ht="25.5" x14ac:dyDescent="0.2">
      <c r="A415" s="173" t="s">
        <v>3597</v>
      </c>
      <c r="B415" s="174"/>
      <c r="C415" s="260" t="s">
        <v>5160</v>
      </c>
      <c r="D415" s="242">
        <f>SUM(D416:D468)</f>
        <v>15269604</v>
      </c>
      <c r="E415" s="242">
        <f>SUM(E416:E468)</f>
        <v>9599242.1400000006</v>
      </c>
      <c r="F415" s="282">
        <f>E415/D415</f>
        <v>0.62865036578551747</v>
      </c>
      <c r="G415" s="243">
        <f>SUM(G416:G468)</f>
        <v>1596599.4</v>
      </c>
      <c r="H415" s="243">
        <f>SUM(H416:H468)</f>
        <v>509910.75</v>
      </c>
      <c r="I415" s="289">
        <f>H415/G415</f>
        <v>0.31937300615295233</v>
      </c>
      <c r="J415" s="242">
        <f t="shared" si="16"/>
        <v>16866203.399999999</v>
      </c>
      <c r="K415" s="242">
        <f>E415+H415</f>
        <v>10109152.890000001</v>
      </c>
      <c r="L415" s="282">
        <f>K415/J415</f>
        <v>0.59937335334163</v>
      </c>
      <c r="M415" s="609"/>
    </row>
    <row r="416" spans="1:13" ht="25.5" x14ac:dyDescent="0.2">
      <c r="A416" s="176"/>
      <c r="B416" s="607" t="s">
        <v>4077</v>
      </c>
      <c r="C416" s="264" t="s">
        <v>4076</v>
      </c>
      <c r="D416" s="244">
        <f>SUMIF('ПО КОРИСНИЦИМА'!$G$16:$G$1823,"Свега за програмску активност 1201-0001:",'ПО КОРИСНИЦИМА'!$H$16:$H$1823)</f>
        <v>12289604</v>
      </c>
      <c r="E416" s="244">
        <f>SUMIF('ПО КОРИСНИЦИМА'!$G$16:$G$1823,"Свега за програмску активност 1201-0001:",'ПО КОРИСНИЦИМА'!$I$16:$I$1823)</f>
        <v>7586879.4400000004</v>
      </c>
      <c r="F416" s="278">
        <f>E416/D416</f>
        <v>0.61734124549497282</v>
      </c>
      <c r="G416" s="245">
        <f>SUMIF('ПО КОРИСНИЦИМА'!$G$16:$G$1823,"Свега за програмску активност 1201-0001:",'ПО КОРИСНИЦИМА'!$L$16:$L$1823)</f>
        <v>1126599.3999999999</v>
      </c>
      <c r="H416" s="245">
        <f>SUMIF('ПО КОРИСНИЦИМА'!$G$16:$G$1823,"Свега за програмску активност 1201-0001:",'ПО КОРИСНИЦИМА'!$M$16:$M$1823)</f>
        <v>231807.72999999998</v>
      </c>
      <c r="I416" s="285">
        <f>H416/G416</f>
        <v>0.20575879056921209</v>
      </c>
      <c r="J416" s="244">
        <f t="shared" si="16"/>
        <v>13416203.4</v>
      </c>
      <c r="K416" s="244">
        <f>E416+H416</f>
        <v>7818687.1699999999</v>
      </c>
      <c r="L416" s="278">
        <f>K416/J416</f>
        <v>0.5827794150765484</v>
      </c>
    </row>
    <row r="417" spans="1:12" ht="38.25" x14ac:dyDescent="0.2">
      <c r="A417" s="178"/>
      <c r="B417" s="606" t="s">
        <v>5162</v>
      </c>
      <c r="C417" s="270" t="s">
        <v>5161</v>
      </c>
      <c r="D417" s="246">
        <f>SUMIF('ПО КОРИСНИЦИМА'!$G$16:$G$1823,"Свега за програмску активност 1201-0003:",'ПО КОРИСНИЦИМА'!$H$16:$H$1823)</f>
        <v>1330000</v>
      </c>
      <c r="E417" s="246">
        <f>SUMIF('ПО КОРИСНИЦИМА'!$G$16:$G$1823,"Свега за програмску активност 1201-0003:",'ПО КОРИСНИЦИМА'!$I$16:$I$1823)</f>
        <v>1130000</v>
      </c>
      <c r="F417" s="279"/>
      <c r="G417" s="247">
        <f>SUMIF('ПО КОРИСНИЦИМА'!$G$16:$G$1823,"Свега за програмску активност 1201-0003:",'ПО КОРИСНИЦИМА'!$L$16:$L$1823)</f>
        <v>0</v>
      </c>
      <c r="H417" s="247">
        <f>SUMIF('ПО КОРИСНИЦИМА'!$G$16:$G$1823,"Свега за програмску активност 1201-0003:",'ПО КОРИСНИЦИМА'!$M$16:$M$1823)</f>
        <v>0</v>
      </c>
      <c r="I417" s="286"/>
      <c r="J417" s="246">
        <f t="shared" si="16"/>
        <v>1330000</v>
      </c>
      <c r="K417" s="246">
        <f>E417+H417</f>
        <v>1130000</v>
      </c>
      <c r="L417" s="279"/>
    </row>
    <row r="418" spans="1:12" ht="39" customHeight="1" x14ac:dyDescent="0.2">
      <c r="A418" s="429"/>
      <c r="B418" s="431" t="s">
        <v>4981</v>
      </c>
      <c r="C418" s="430" t="s">
        <v>4982</v>
      </c>
      <c r="D418" s="420">
        <f>SUMIF('ПО КОРИСНИЦИМА'!$G$16:$G$1823,"Свега за програмску активност 1201-0004:",'ПО КОРИСНИЦИМА'!$H$16:$H$1823)</f>
        <v>1350000</v>
      </c>
      <c r="E418" s="420">
        <f>SUMIF('ПО КОРИСНИЦИМА'!$G$16:$G$1823,"Свега за програмску активност 1201-0004:",'ПО КОРИСНИЦИМА'!$I$16:$I$1823)</f>
        <v>790000</v>
      </c>
      <c r="F418" s="421">
        <f>E418/D418</f>
        <v>0.58518518518518514</v>
      </c>
      <c r="G418" s="422">
        <f>SUMIF('ПО КОРИСНИЦИМА'!$G$16:$G$1823,"Свега за програмску активност 1201-0004:",'ПО КОРИСНИЦИМА'!$L$16:$L$1823)</f>
        <v>0</v>
      </c>
      <c r="H418" s="422">
        <f>SUMIF('ПО КОРИСНИЦИМА'!$G$16:$G$1823,"Свега за програмску активност 1201-0004:",'ПО КОРИСНИЦИМА'!$M$16:$M$1823)</f>
        <v>0</v>
      </c>
      <c r="I418" s="423"/>
      <c r="J418" s="420">
        <f>D418+G418</f>
        <v>1350000</v>
      </c>
      <c r="K418" s="420">
        <f>E418+H418</f>
        <v>790000</v>
      </c>
      <c r="L418" s="421">
        <f>K418/J418</f>
        <v>0.58518518518518514</v>
      </c>
    </row>
    <row r="419" spans="1:12" ht="24.75" customHeight="1" x14ac:dyDescent="0.2">
      <c r="A419" s="182"/>
      <c r="B419" s="185" t="s">
        <v>4568</v>
      </c>
      <c r="C419" s="610" t="str">
        <f>IFERROR(VLOOKUP(B419,'ПО КОРИСНИЦИМА'!$C$16:$S$1823,5,FALSE),"")</f>
        <v>42. Сазив Јаловичке ликовне колоније</v>
      </c>
      <c r="D419" s="248">
        <f>SUMIF('ПО КОРИСНИЦИМА'!$G$16:$G$1823,"Свега за пројекат 1201-П1:",'ПО КОРИСНИЦИМА'!$H$16:$H$1823)</f>
        <v>300000</v>
      </c>
      <c r="E419" s="248">
        <f>SUMIF('ПО КОРИСНИЦИМА'!$G$16:$G$1823,"Свега за пројекат 1201-П1:",'ПО КОРИСНИЦИМА'!$I$16:$I$1823)</f>
        <v>92362.7</v>
      </c>
      <c r="F419" s="280">
        <f>E419/D419</f>
        <v>0.30787566666666666</v>
      </c>
      <c r="G419" s="249">
        <f>SUMIF('ПО КОРИСНИЦИМА'!$G$16:$G$1823,"Свега за пројекат 1201-П1:",'ПО КОРИСНИЦИМА'!$L$16:$L$1823)</f>
        <v>470000</v>
      </c>
      <c r="H419" s="249">
        <f>SUMIF('ПО КОРИСНИЦИМА'!$G$16:$G$1823,"Свега за пројекат 1201-П1:",'ПО КОРИСНИЦИМА'!$M$16:$M$1823)</f>
        <v>278103.02</v>
      </c>
      <c r="I419" s="287">
        <f>H419/G419</f>
        <v>0.59170855319148941</v>
      </c>
      <c r="J419" s="246">
        <f t="shared" si="16"/>
        <v>770000</v>
      </c>
      <c r="K419" s="246">
        <f>E419+H419</f>
        <v>370465.72000000003</v>
      </c>
      <c r="L419" s="279"/>
    </row>
    <row r="420" spans="1:12" ht="36.75" hidden="1" customHeight="1" x14ac:dyDescent="0.2">
      <c r="A420" s="182"/>
      <c r="B420" s="182" t="s">
        <v>4569</v>
      </c>
      <c r="C420" s="262" t="str">
        <f>IFERROR(VLOOKUP(B420,'ПО КОРИСНИЦИМА'!$C$16:$S$1823,5,FALSE),"")</f>
        <v>Унапређење информационо техничких капацитета Библиотеке ,,Диша Атић" Владимирци</v>
      </c>
      <c r="D420" s="248">
        <f>SUMIF('ПО КОРИСНИЦИМА'!$G$16:$G$1823,"Свега за пројекат 1201-П2:",'ПО КОРИСНИЦИМА'!$H$16:$H$1823)</f>
        <v>0</v>
      </c>
      <c r="E420" s="248"/>
      <c r="F420" s="280"/>
      <c r="G420" s="249">
        <f>SUMIF('ПО КОРИСНИЦИМА'!$G$16:$G$1823,"Свега за пројекат 1201-П2:",'ПО КОРИСНИЦИМА'!$L$16:$L$1823)</f>
        <v>0</v>
      </c>
      <c r="H420" s="249"/>
      <c r="I420" s="287"/>
      <c r="J420" s="246">
        <f t="shared" si="16"/>
        <v>0</v>
      </c>
      <c r="K420" s="246"/>
      <c r="L420" s="279"/>
    </row>
    <row r="421" spans="1:12" ht="44.25" hidden="1" customHeight="1" x14ac:dyDescent="0.2">
      <c r="A421" s="182"/>
      <c r="B421" s="182" t="s">
        <v>4570</v>
      </c>
      <c r="C421" s="262" t="str">
        <f>IFERROR(VLOOKUP(B421,'ПО КОРИСНИЦИМА'!$C$16:$S$1823,5,FALSE),"")</f>
        <v/>
      </c>
      <c r="D421" s="248">
        <f>SUMIF('ПО КОРИСНИЦИМА'!$G$16:$G$1823,"Свега за пројекат 1201-П3:",'ПО КОРИСНИЦИМА'!$H$16:$H$1823)</f>
        <v>0</v>
      </c>
      <c r="E421" s="248"/>
      <c r="F421" s="280"/>
      <c r="G421" s="249">
        <f>SUMIF('ПО КОРИСНИЦИМА'!$G$16:$G$1823,"Свега за пројекат 1201-П3:",'ПО КОРИСНИЦИМА'!$L$16:$L$1823)</f>
        <v>0</v>
      </c>
      <c r="H421" s="249"/>
      <c r="I421" s="287"/>
      <c r="J421" s="246">
        <f t="shared" si="16"/>
        <v>0</v>
      </c>
      <c r="K421" s="246"/>
      <c r="L421" s="279"/>
    </row>
    <row r="422" spans="1:12" ht="44.25" hidden="1" customHeight="1" x14ac:dyDescent="0.2">
      <c r="A422" s="182"/>
      <c r="B422" s="182" t="s">
        <v>4571</v>
      </c>
      <c r="C422" s="262" t="str">
        <f>IFERROR(VLOOKUP(B422,'ПО КОРИСНИЦИМА'!$C$16:$S$1823,5,FALSE),"")</f>
        <v/>
      </c>
      <c r="D422" s="248">
        <f>SUMIF('ПО КОРИСНИЦИМА'!$G$16:$G$1823,"Свега за пројекат 1201-П4:",'ПО КОРИСНИЦИМА'!$H$16:$H$1823)</f>
        <v>0</v>
      </c>
      <c r="E422" s="248"/>
      <c r="F422" s="280"/>
      <c r="G422" s="249">
        <f>SUMIF('ПО КОРИСНИЦИМА'!$G$16:$G$1823,"Свега за пројекат 1201-П4:",'ПО КОРИСНИЦИМА'!$L$16:$L$1823)</f>
        <v>0</v>
      </c>
      <c r="H422" s="249"/>
      <c r="I422" s="287"/>
      <c r="J422" s="246">
        <f t="shared" si="16"/>
        <v>0</v>
      </c>
      <c r="K422" s="246"/>
      <c r="L422" s="279"/>
    </row>
    <row r="423" spans="1:12" ht="44.25" hidden="1" customHeight="1" x14ac:dyDescent="0.2">
      <c r="A423" s="182"/>
      <c r="B423" s="182" t="s">
        <v>4572</v>
      </c>
      <c r="C423" s="262" t="str">
        <f>IFERROR(VLOOKUP(B423,'ПО КОРИСНИЦИМА'!$C$16:$S$1823,5,FALSE),"")</f>
        <v/>
      </c>
      <c r="D423" s="248">
        <f>SUMIF('ПО КОРИСНИЦИМА'!$G$16:$G$1823,"Свега за пројекат 1201-П5:",'ПО КОРИСНИЦИМА'!$H$16:$H$1823)</f>
        <v>0</v>
      </c>
      <c r="E423" s="248"/>
      <c r="F423" s="280"/>
      <c r="G423" s="249">
        <f>SUMIF('ПО КОРИСНИЦИМА'!$G$16:$G$1823,"Свега за пројекат 1201-П5:",'ПО КОРИСНИЦИМА'!$L$16:$L$1823)</f>
        <v>0</v>
      </c>
      <c r="H423" s="249"/>
      <c r="I423" s="287"/>
      <c r="J423" s="246">
        <f t="shared" si="16"/>
        <v>0</v>
      </c>
      <c r="K423" s="246"/>
      <c r="L423" s="279"/>
    </row>
    <row r="424" spans="1:12" ht="44.25" hidden="1" customHeight="1" x14ac:dyDescent="0.2">
      <c r="A424" s="182"/>
      <c r="B424" s="182" t="s">
        <v>4573</v>
      </c>
      <c r="C424" s="262" t="str">
        <f>IFERROR(VLOOKUP(B424,'ПО КОРИСНИЦИМА'!$C$16:$S$1823,5,FALSE),"")</f>
        <v/>
      </c>
      <c r="D424" s="248">
        <f>SUMIF('ПО КОРИСНИЦИМА'!$G$16:$G$1823,"Свега за пројекат 1201-П6:",'ПО КОРИСНИЦИМА'!$H$16:$H$1823)</f>
        <v>0</v>
      </c>
      <c r="E424" s="248"/>
      <c r="F424" s="280"/>
      <c r="G424" s="249">
        <f>SUMIF('ПО КОРИСНИЦИМА'!$G$16:$G$1823,"Свега за пројекат 1201-П6:",'ПО КОРИСНИЦИМА'!$L$16:$L$1823)</f>
        <v>0</v>
      </c>
      <c r="H424" s="249"/>
      <c r="I424" s="287"/>
      <c r="J424" s="246">
        <f t="shared" si="16"/>
        <v>0</v>
      </c>
      <c r="K424" s="246"/>
      <c r="L424" s="279"/>
    </row>
    <row r="425" spans="1:12" ht="44.25" hidden="1" customHeight="1" x14ac:dyDescent="0.2">
      <c r="A425" s="182"/>
      <c r="B425" s="182" t="s">
        <v>4574</v>
      </c>
      <c r="C425" s="262" t="str">
        <f>IFERROR(VLOOKUP(B425,'ПО КОРИСНИЦИМА'!$C$16:$S$1823,5,FALSE),"")</f>
        <v/>
      </c>
      <c r="D425" s="248">
        <f>SUMIF('ПО КОРИСНИЦИМА'!$G$16:$G$1823,"Свега за пројекат 1201-П7:",'ПО КОРИСНИЦИМА'!$H$16:$H$1823)</f>
        <v>0</v>
      </c>
      <c r="E425" s="248"/>
      <c r="F425" s="280"/>
      <c r="G425" s="249">
        <f>SUMIF('ПО КОРИСНИЦИМА'!$G$16:$G$1823,"Свега за пројекат 1201-П7:",'ПО КОРИСНИЦИМА'!$L$16:$L$1823)</f>
        <v>0</v>
      </c>
      <c r="H425" s="249"/>
      <c r="I425" s="287"/>
      <c r="J425" s="246">
        <f t="shared" si="16"/>
        <v>0</v>
      </c>
      <c r="K425" s="246"/>
      <c r="L425" s="279"/>
    </row>
    <row r="426" spans="1:12" ht="44.25" hidden="1" customHeight="1" x14ac:dyDescent="0.2">
      <c r="A426" s="182"/>
      <c r="B426" s="182" t="s">
        <v>4575</v>
      </c>
      <c r="C426" s="262" t="str">
        <f>IFERROR(VLOOKUP(B426,'ПО КОРИСНИЦИМА'!$C$16:$S$1823,5,FALSE),"")</f>
        <v/>
      </c>
      <c r="D426" s="248">
        <f>SUMIF('ПО КОРИСНИЦИМА'!$G$16:$G$1823,"Свега за пројекат 1201-П8:",'ПО КОРИСНИЦИМА'!$H$16:$H$1823)</f>
        <v>0</v>
      </c>
      <c r="E426" s="248"/>
      <c r="F426" s="280"/>
      <c r="G426" s="249">
        <f>SUMIF('ПО КОРИСНИЦИМА'!$G$16:$G$1823,"Свега за пројекат 1201-П8:",'ПО КОРИСНИЦИМА'!$L$16:$L$1823)</f>
        <v>0</v>
      </c>
      <c r="H426" s="249"/>
      <c r="I426" s="287"/>
      <c r="J426" s="246">
        <f t="shared" si="16"/>
        <v>0</v>
      </c>
      <c r="K426" s="246"/>
      <c r="L426" s="279"/>
    </row>
    <row r="427" spans="1:12" ht="44.25" hidden="1" customHeight="1" x14ac:dyDescent="0.2">
      <c r="A427" s="182"/>
      <c r="B427" s="182" t="s">
        <v>4576</v>
      </c>
      <c r="C427" s="262" t="str">
        <f>IFERROR(VLOOKUP(B427,'ПО КОРИСНИЦИМА'!$C$16:$S$1823,5,FALSE),"")</f>
        <v/>
      </c>
      <c r="D427" s="248">
        <f>SUMIF('ПО КОРИСНИЦИМА'!$G$16:$G$1823,"Свега за пројекат 1201-П9:",'ПО КОРИСНИЦИМА'!$H$16:$H$1823)</f>
        <v>0</v>
      </c>
      <c r="E427" s="248"/>
      <c r="F427" s="280"/>
      <c r="G427" s="249">
        <f>SUMIF('ПО КОРИСНИЦИМА'!$G$16:$G$1823,"Свега за пројекат 1201-П9:",'ПО КОРИСНИЦИМА'!$L$16:$L$1823)</f>
        <v>0</v>
      </c>
      <c r="H427" s="249"/>
      <c r="I427" s="287"/>
      <c r="J427" s="246">
        <f t="shared" si="16"/>
        <v>0</v>
      </c>
      <c r="K427" s="246"/>
      <c r="L427" s="279"/>
    </row>
    <row r="428" spans="1:12" ht="44.25" hidden="1" customHeight="1" x14ac:dyDescent="0.2">
      <c r="A428" s="182"/>
      <c r="B428" s="182" t="s">
        <v>4577</v>
      </c>
      <c r="C428" s="262" t="str">
        <f>IFERROR(VLOOKUP(B428,'ПО КОРИСНИЦИМА'!$C$16:$S$1823,5,FALSE),"")</f>
        <v/>
      </c>
      <c r="D428" s="248">
        <f>SUMIF('ПО КОРИСНИЦИМА'!$G$16:$G$1823,"Свега за пројекат 1201-П10:",'ПО КОРИСНИЦИМА'!$H$16:$H$1823)</f>
        <v>0</v>
      </c>
      <c r="E428" s="248"/>
      <c r="F428" s="280"/>
      <c r="G428" s="249">
        <f>SUMIF('ПО КОРИСНИЦИМА'!$G$16:$G$1823,"Свега за пројекат 1201-П10:",'ПО КОРИСНИЦИМА'!$L$16:$L$1823)</f>
        <v>0</v>
      </c>
      <c r="H428" s="249"/>
      <c r="I428" s="287"/>
      <c r="J428" s="246">
        <f t="shared" si="16"/>
        <v>0</v>
      </c>
      <c r="K428" s="246"/>
      <c r="L428" s="279"/>
    </row>
    <row r="429" spans="1:12" ht="44.25" hidden="1" customHeight="1" x14ac:dyDescent="0.2">
      <c r="A429" s="182"/>
      <c r="B429" s="182" t="s">
        <v>4578</v>
      </c>
      <c r="C429" s="262" t="str">
        <f>IFERROR(VLOOKUP(B429,'ПО КОРИСНИЦИМА'!$C$16:$S$1823,5,FALSE),"")</f>
        <v/>
      </c>
      <c r="D429" s="248">
        <f>SUMIF('ПО КОРИСНИЦИМА'!$G$16:$G$1823,"Свега за пројекат 1201-П11:",'ПО КОРИСНИЦИМА'!$H$16:$H$1823)</f>
        <v>0</v>
      </c>
      <c r="E429" s="248"/>
      <c r="F429" s="280"/>
      <c r="G429" s="249">
        <f>SUMIF('ПО КОРИСНИЦИМА'!$G$16:$G$1823,"Свега за пројекат 1201-П11:",'ПО КОРИСНИЦИМА'!$L$16:$L$1823)</f>
        <v>0</v>
      </c>
      <c r="H429" s="249"/>
      <c r="I429" s="287"/>
      <c r="J429" s="246">
        <f t="shared" si="16"/>
        <v>0</v>
      </c>
      <c r="K429" s="246"/>
      <c r="L429" s="279"/>
    </row>
    <row r="430" spans="1:12" ht="44.25" hidden="1" customHeight="1" x14ac:dyDescent="0.2">
      <c r="A430" s="182"/>
      <c r="B430" s="182" t="s">
        <v>4579</v>
      </c>
      <c r="C430" s="262" t="str">
        <f>IFERROR(VLOOKUP(B430,'ПО КОРИСНИЦИМА'!$C$16:$S$1823,5,FALSE),"")</f>
        <v/>
      </c>
      <c r="D430" s="248">
        <f>SUMIF('ПО КОРИСНИЦИМА'!$G$16:$G$1823,"Свега за пројекат 1201-П12:",'ПО КОРИСНИЦИМА'!$H$16:$H$1823)</f>
        <v>0</v>
      </c>
      <c r="E430" s="248"/>
      <c r="F430" s="280"/>
      <c r="G430" s="249">
        <f>SUMIF('ПО КОРИСНИЦИМА'!$G$16:$G$1823,"Свега за пројекат 1201-П12:",'ПО КОРИСНИЦИМА'!$L$16:$L$1823)</f>
        <v>0</v>
      </c>
      <c r="H430" s="249"/>
      <c r="I430" s="287"/>
      <c r="J430" s="246">
        <f t="shared" si="16"/>
        <v>0</v>
      </c>
      <c r="K430" s="246"/>
      <c r="L430" s="279"/>
    </row>
    <row r="431" spans="1:12" ht="44.25" hidden="1" customHeight="1" x14ac:dyDescent="0.2">
      <c r="A431" s="182"/>
      <c r="B431" s="182" t="s">
        <v>4580</v>
      </c>
      <c r="C431" s="262" t="str">
        <f>IFERROR(VLOOKUP(B431,'ПО КОРИСНИЦИМА'!$C$16:$S$1823,5,FALSE),"")</f>
        <v/>
      </c>
      <c r="D431" s="248">
        <f>SUMIF('ПО КОРИСНИЦИМА'!$G$16:$G$1823,"Свега за пројекат 1201-П13:",'ПО КОРИСНИЦИМА'!$H$16:$H$1823)</f>
        <v>0</v>
      </c>
      <c r="E431" s="248"/>
      <c r="F431" s="280"/>
      <c r="G431" s="249">
        <f>SUMIF('ПО КОРИСНИЦИМА'!$G$16:$G$1823,"Свега за пројекат 1201-П13:",'ПО КОРИСНИЦИМА'!$L$16:$L$1823)</f>
        <v>0</v>
      </c>
      <c r="H431" s="249"/>
      <c r="I431" s="287"/>
      <c r="J431" s="246">
        <f t="shared" si="16"/>
        <v>0</v>
      </c>
      <c r="K431" s="246"/>
      <c r="L431" s="279"/>
    </row>
    <row r="432" spans="1:12" ht="44.25" hidden="1" customHeight="1" x14ac:dyDescent="0.2">
      <c r="A432" s="182"/>
      <c r="B432" s="182" t="s">
        <v>4581</v>
      </c>
      <c r="C432" s="262" t="str">
        <f>IFERROR(VLOOKUP(B432,'ПО КОРИСНИЦИМА'!$C$16:$S$1823,5,FALSE),"")</f>
        <v/>
      </c>
      <c r="D432" s="248">
        <f>SUMIF('ПО КОРИСНИЦИМА'!$G$16:$G$1823,"Свега за пројекат 1201-П14:",'ПО КОРИСНИЦИМА'!$H$16:$H$1823)</f>
        <v>0</v>
      </c>
      <c r="E432" s="248"/>
      <c r="F432" s="280"/>
      <c r="G432" s="249">
        <f>SUMIF('ПО КОРИСНИЦИМА'!$G$16:$G$1823,"Свега за пројекат 1201-П14:",'ПО КОРИСНИЦИМА'!$L$16:$L$1823)</f>
        <v>0</v>
      </c>
      <c r="H432" s="249"/>
      <c r="I432" s="287"/>
      <c r="J432" s="246">
        <f t="shared" si="16"/>
        <v>0</v>
      </c>
      <c r="K432" s="246"/>
      <c r="L432" s="279"/>
    </row>
    <row r="433" spans="1:12" ht="44.25" hidden="1" customHeight="1" x14ac:dyDescent="0.2">
      <c r="A433" s="182"/>
      <c r="B433" s="182" t="s">
        <v>4582</v>
      </c>
      <c r="C433" s="262" t="str">
        <f>IFERROR(VLOOKUP(B433,'ПО КОРИСНИЦИМА'!$C$16:$S$1823,5,FALSE),"")</f>
        <v/>
      </c>
      <c r="D433" s="248">
        <f>SUMIF('ПО КОРИСНИЦИМА'!$G$16:$G$1823,"Свега за пројекат 1201-П15:",'ПО КОРИСНИЦИМА'!$H$16:$H$1823)</f>
        <v>0</v>
      </c>
      <c r="E433" s="248"/>
      <c r="F433" s="280"/>
      <c r="G433" s="249">
        <f>SUMIF('ПО КОРИСНИЦИМА'!$G$16:$G$1823,"Свега за пројекат 1201-П15:",'ПО КОРИСНИЦИМА'!$L$16:$L$1823)</f>
        <v>0</v>
      </c>
      <c r="H433" s="249"/>
      <c r="I433" s="287"/>
      <c r="J433" s="246">
        <f t="shared" si="16"/>
        <v>0</v>
      </c>
      <c r="K433" s="246"/>
      <c r="L433" s="279"/>
    </row>
    <row r="434" spans="1:12" ht="44.25" hidden="1" customHeight="1" x14ac:dyDescent="0.2">
      <c r="A434" s="182"/>
      <c r="B434" s="182" t="s">
        <v>4583</v>
      </c>
      <c r="C434" s="262" t="str">
        <f>IFERROR(VLOOKUP(B434,'ПО КОРИСНИЦИМА'!$C$16:$S$1823,5,FALSE),"")</f>
        <v/>
      </c>
      <c r="D434" s="248">
        <f>SUMIF('ПО КОРИСНИЦИМА'!$G$16:$G$1823,"Свега за пројекат 1201-П16:",'ПО КОРИСНИЦИМА'!$H$16:$H$1823)</f>
        <v>0</v>
      </c>
      <c r="E434" s="248"/>
      <c r="F434" s="280"/>
      <c r="G434" s="249">
        <f>SUMIF('ПО КОРИСНИЦИМА'!$G$16:$G$1823,"Свега за пројекат 1201-П16:",'ПО КОРИСНИЦИМА'!$L$16:$L$1823)</f>
        <v>0</v>
      </c>
      <c r="H434" s="249"/>
      <c r="I434" s="287"/>
      <c r="J434" s="246">
        <f t="shared" si="16"/>
        <v>0</v>
      </c>
      <c r="K434" s="246"/>
      <c r="L434" s="279"/>
    </row>
    <row r="435" spans="1:12" ht="44.25" hidden="1" customHeight="1" x14ac:dyDescent="0.2">
      <c r="A435" s="182"/>
      <c r="B435" s="182" t="s">
        <v>4584</v>
      </c>
      <c r="C435" s="262" t="str">
        <f>IFERROR(VLOOKUP(B435,'ПО КОРИСНИЦИМА'!$C$16:$S$1823,5,FALSE),"")</f>
        <v/>
      </c>
      <c r="D435" s="248">
        <f>SUMIF('ПО КОРИСНИЦИМА'!$G$16:$G$1823,"Свега за пројекат 1201-П17:",'ПО КОРИСНИЦИМА'!$H$16:$H$1823)</f>
        <v>0</v>
      </c>
      <c r="E435" s="248"/>
      <c r="F435" s="280"/>
      <c r="G435" s="249">
        <f>SUMIF('ПО КОРИСНИЦИМА'!$G$16:$G$1823,"Свега за пројекат 1201-П17:",'ПО КОРИСНИЦИМА'!$L$16:$L$1823)</f>
        <v>0</v>
      </c>
      <c r="H435" s="249"/>
      <c r="I435" s="287"/>
      <c r="J435" s="246">
        <f t="shared" si="16"/>
        <v>0</v>
      </c>
      <c r="K435" s="246"/>
      <c r="L435" s="279"/>
    </row>
    <row r="436" spans="1:12" ht="44.25" hidden="1" customHeight="1" x14ac:dyDescent="0.2">
      <c r="A436" s="182"/>
      <c r="B436" s="182" t="s">
        <v>4585</v>
      </c>
      <c r="C436" s="262" t="str">
        <f>IFERROR(VLOOKUP(B436,'ПО КОРИСНИЦИМА'!$C$16:$S$1823,5,FALSE),"")</f>
        <v/>
      </c>
      <c r="D436" s="248">
        <f>SUMIF('ПО КОРИСНИЦИМА'!$G$16:$G$1823,"Свега за пројекат 1201-П18:",'ПО КОРИСНИЦИМА'!$H$16:$H$1823)</f>
        <v>0</v>
      </c>
      <c r="E436" s="248"/>
      <c r="F436" s="280"/>
      <c r="G436" s="249">
        <f>SUMIF('ПО КОРИСНИЦИМА'!$G$16:$G$1823,"Свега за пројекат 1201-П18:",'ПО КОРИСНИЦИМА'!$L$16:$L$1823)</f>
        <v>0</v>
      </c>
      <c r="H436" s="249"/>
      <c r="I436" s="287"/>
      <c r="J436" s="246">
        <f t="shared" si="16"/>
        <v>0</v>
      </c>
      <c r="K436" s="246"/>
      <c r="L436" s="279"/>
    </row>
    <row r="437" spans="1:12" ht="44.25" hidden="1" customHeight="1" x14ac:dyDescent="0.2">
      <c r="A437" s="182"/>
      <c r="B437" s="182" t="s">
        <v>4586</v>
      </c>
      <c r="C437" s="262" t="str">
        <f>IFERROR(VLOOKUP(B437,'ПО КОРИСНИЦИМА'!$C$16:$S$1823,5,FALSE),"")</f>
        <v/>
      </c>
      <c r="D437" s="248">
        <f>SUMIF('ПО КОРИСНИЦИМА'!$G$16:$G$1823,"Свега за пројекат 1201-П19:",'ПО КОРИСНИЦИМА'!$H$16:$H$1823)</f>
        <v>0</v>
      </c>
      <c r="E437" s="248"/>
      <c r="F437" s="280"/>
      <c r="G437" s="249">
        <f>SUMIF('ПО КОРИСНИЦИМА'!$G$16:$G$1823,"Свега за пројекат 1201-П19:",'ПО КОРИСНИЦИМА'!$L$16:$L$1823)</f>
        <v>0</v>
      </c>
      <c r="H437" s="249"/>
      <c r="I437" s="287"/>
      <c r="J437" s="246">
        <f t="shared" si="16"/>
        <v>0</v>
      </c>
      <c r="K437" s="246"/>
      <c r="L437" s="279"/>
    </row>
    <row r="438" spans="1:12" ht="44.25" hidden="1" customHeight="1" x14ac:dyDescent="0.2">
      <c r="A438" s="182"/>
      <c r="B438" s="182" t="s">
        <v>4587</v>
      </c>
      <c r="C438" s="262" t="str">
        <f>IFERROR(VLOOKUP(B438,'ПО КОРИСНИЦИМА'!$C$16:$S$1823,5,FALSE),"")</f>
        <v/>
      </c>
      <c r="D438" s="248">
        <f>SUMIF('ПО КОРИСНИЦИМА'!$G$16:$G$1823,"Свега за пројекат 1201-П20:",'ПО КОРИСНИЦИМА'!$H$16:$H$1823)</f>
        <v>0</v>
      </c>
      <c r="E438" s="248"/>
      <c r="F438" s="280"/>
      <c r="G438" s="249">
        <f>SUMIF('ПО КОРИСНИЦИМА'!$G$16:$G$1823,"Свега за пројекат 1201-П20:",'ПО КОРИСНИЦИМА'!$L$16:$L$1823)</f>
        <v>0</v>
      </c>
      <c r="H438" s="249"/>
      <c r="I438" s="287"/>
      <c r="J438" s="246">
        <f t="shared" si="16"/>
        <v>0</v>
      </c>
      <c r="K438" s="246"/>
      <c r="L438" s="279"/>
    </row>
    <row r="439" spans="1:12" ht="44.25" hidden="1" customHeight="1" x14ac:dyDescent="0.2">
      <c r="A439" s="182"/>
      <c r="B439" s="182" t="s">
        <v>4588</v>
      </c>
      <c r="C439" s="262" t="str">
        <f>IFERROR(VLOOKUP(B439,'ПО КОРИСНИЦИМА'!$C$16:$S$1823,5,FALSE),"")</f>
        <v/>
      </c>
      <c r="D439" s="248">
        <f>SUMIF('ПО КОРИСНИЦИМА'!$G$16:$G$1823,"Свега за пројекат 1201-П21:",'ПО КОРИСНИЦИМА'!$H$16:$H$1823)</f>
        <v>0</v>
      </c>
      <c r="E439" s="248"/>
      <c r="F439" s="280"/>
      <c r="G439" s="249">
        <f>SUMIF('ПО КОРИСНИЦИМА'!$G$16:$G$1823,"Свега за пројекат 1201-П21:",'ПО КОРИСНИЦИМА'!$L$16:$L$1823)</f>
        <v>0</v>
      </c>
      <c r="H439" s="249"/>
      <c r="I439" s="287"/>
      <c r="J439" s="246">
        <f t="shared" si="16"/>
        <v>0</v>
      </c>
      <c r="K439" s="246"/>
      <c r="L439" s="279"/>
    </row>
    <row r="440" spans="1:12" ht="44.25" hidden="1" customHeight="1" x14ac:dyDescent="0.2">
      <c r="A440" s="182"/>
      <c r="B440" s="182" t="s">
        <v>4589</v>
      </c>
      <c r="C440" s="262" t="str">
        <f>IFERROR(VLOOKUP(B440,'ПО КОРИСНИЦИМА'!$C$16:$S$1823,5,FALSE),"")</f>
        <v/>
      </c>
      <c r="D440" s="248">
        <f>SUMIF('ПО КОРИСНИЦИМА'!$G$16:$G$1823,"Свега за пројекат 1201-П22:",'ПО КОРИСНИЦИМА'!$H$16:$H$1823)</f>
        <v>0</v>
      </c>
      <c r="E440" s="248"/>
      <c r="F440" s="280"/>
      <c r="G440" s="249">
        <f>SUMIF('ПО КОРИСНИЦИМА'!$G$16:$G$1823,"Свега за пројекат 1201-П22:",'ПО КОРИСНИЦИМА'!$L$16:$L$1823)</f>
        <v>0</v>
      </c>
      <c r="H440" s="249"/>
      <c r="I440" s="287"/>
      <c r="J440" s="246">
        <f t="shared" si="16"/>
        <v>0</v>
      </c>
      <c r="K440" s="246"/>
      <c r="L440" s="279"/>
    </row>
    <row r="441" spans="1:12" ht="44.25" hidden="1" customHeight="1" x14ac:dyDescent="0.2">
      <c r="A441" s="182"/>
      <c r="B441" s="182" t="s">
        <v>4590</v>
      </c>
      <c r="C441" s="262" t="str">
        <f>IFERROR(VLOOKUP(B441,'ПО КОРИСНИЦИМА'!$C$16:$S$1823,5,FALSE),"")</f>
        <v/>
      </c>
      <c r="D441" s="248">
        <f>SUMIF('ПО КОРИСНИЦИМА'!$G$16:$G$1823,"Свега за пројекат 1201-П23:",'ПО КОРИСНИЦИМА'!$H$16:$H$1823)</f>
        <v>0</v>
      </c>
      <c r="E441" s="248"/>
      <c r="F441" s="280"/>
      <c r="G441" s="249">
        <f>SUMIF('ПО КОРИСНИЦИМА'!$G$16:$G$1823,"Свега за пројекат 1201-П23:",'ПО КОРИСНИЦИМА'!$L$16:$L$1823)</f>
        <v>0</v>
      </c>
      <c r="H441" s="249"/>
      <c r="I441" s="287"/>
      <c r="J441" s="246">
        <f t="shared" si="16"/>
        <v>0</v>
      </c>
      <c r="K441" s="246"/>
      <c r="L441" s="279"/>
    </row>
    <row r="442" spans="1:12" ht="44.25" hidden="1" customHeight="1" x14ac:dyDescent="0.2">
      <c r="A442" s="182"/>
      <c r="B442" s="182" t="s">
        <v>4591</v>
      </c>
      <c r="C442" s="262" t="str">
        <f>IFERROR(VLOOKUP(B442,'ПО КОРИСНИЦИМА'!$C$16:$S$1823,5,FALSE),"")</f>
        <v/>
      </c>
      <c r="D442" s="248">
        <f>SUMIF('ПО КОРИСНИЦИМА'!$G$16:$G$1823,"Свега за пројекат 1201-П24:",'ПО КОРИСНИЦИМА'!$H$16:$H$1823)</f>
        <v>0</v>
      </c>
      <c r="E442" s="248"/>
      <c r="F442" s="280"/>
      <c r="G442" s="249">
        <f>SUMIF('ПО КОРИСНИЦИМА'!$G$16:$G$1823,"Свега за пројекат 1201-П24:",'ПО КОРИСНИЦИМА'!$L$16:$L$1823)</f>
        <v>0</v>
      </c>
      <c r="H442" s="249"/>
      <c r="I442" s="287"/>
      <c r="J442" s="246">
        <f t="shared" si="16"/>
        <v>0</v>
      </c>
      <c r="K442" s="246"/>
      <c r="L442" s="279"/>
    </row>
    <row r="443" spans="1:12" ht="44.25" hidden="1" customHeight="1" x14ac:dyDescent="0.2">
      <c r="A443" s="182"/>
      <c r="B443" s="182" t="s">
        <v>4592</v>
      </c>
      <c r="C443" s="262" t="str">
        <f>IFERROR(VLOOKUP(B443,'ПО КОРИСНИЦИМА'!$C$16:$S$1823,5,FALSE),"")</f>
        <v/>
      </c>
      <c r="D443" s="248">
        <f>SUMIF('ПО КОРИСНИЦИМА'!$G$16:$G$1823,"Свега за пројекат 1201-П25:",'ПО КОРИСНИЦИМА'!$H$16:$H$1823)</f>
        <v>0</v>
      </c>
      <c r="E443" s="248"/>
      <c r="F443" s="280"/>
      <c r="G443" s="249">
        <f>SUMIF('ПО КОРИСНИЦИМА'!$G$16:$G$1823,"Свега за пројекат 1201-П25:",'ПО КОРИСНИЦИМА'!$L$16:$L$1823)</f>
        <v>0</v>
      </c>
      <c r="H443" s="249"/>
      <c r="I443" s="287"/>
      <c r="J443" s="246">
        <f t="shared" si="16"/>
        <v>0</v>
      </c>
      <c r="K443" s="246"/>
      <c r="L443" s="279"/>
    </row>
    <row r="444" spans="1:12" ht="44.25" hidden="1" customHeight="1" x14ac:dyDescent="0.2">
      <c r="A444" s="182"/>
      <c r="B444" s="182" t="s">
        <v>4593</v>
      </c>
      <c r="C444" s="262" t="str">
        <f>IFERROR(VLOOKUP(B444,'ПО КОРИСНИЦИМА'!$C$16:$S$1823,5,FALSE),"")</f>
        <v/>
      </c>
      <c r="D444" s="248">
        <f>SUMIF('ПО КОРИСНИЦИМА'!$G$16:$G$1823,"Свега за пројекат 1201-П26:",'ПО КОРИСНИЦИМА'!$H$16:$H$1823)</f>
        <v>0</v>
      </c>
      <c r="E444" s="248"/>
      <c r="F444" s="280"/>
      <c r="G444" s="249">
        <f>SUMIF('ПО КОРИСНИЦИМА'!$G$16:$G$1823,"Свега за пројекат 1201-П26:",'ПО КОРИСНИЦИМА'!$L$16:$L$1823)</f>
        <v>0</v>
      </c>
      <c r="H444" s="249"/>
      <c r="I444" s="287"/>
      <c r="J444" s="246">
        <f t="shared" si="16"/>
        <v>0</v>
      </c>
      <c r="K444" s="246"/>
      <c r="L444" s="279"/>
    </row>
    <row r="445" spans="1:12" ht="44.25" hidden="1" customHeight="1" x14ac:dyDescent="0.2">
      <c r="A445" s="182"/>
      <c r="B445" s="182" t="s">
        <v>4594</v>
      </c>
      <c r="C445" s="262" t="str">
        <f>IFERROR(VLOOKUP(B445,'ПО КОРИСНИЦИМА'!$C$16:$S$1823,5,FALSE),"")</f>
        <v/>
      </c>
      <c r="D445" s="248">
        <f>SUMIF('ПО КОРИСНИЦИМА'!$G$16:$G$1823,"Свега за пројекат 1201-П27:",'ПО КОРИСНИЦИМА'!$H$16:$H$1823)</f>
        <v>0</v>
      </c>
      <c r="E445" s="248"/>
      <c r="F445" s="280"/>
      <c r="G445" s="249">
        <f>SUMIF('ПО КОРИСНИЦИМА'!$G$16:$G$1823,"Свега за пројекат 1201-П27:",'ПО КОРИСНИЦИМА'!$L$16:$L$1823)</f>
        <v>0</v>
      </c>
      <c r="H445" s="249"/>
      <c r="I445" s="287"/>
      <c r="J445" s="246">
        <f t="shared" si="16"/>
        <v>0</v>
      </c>
      <c r="K445" s="246"/>
      <c r="L445" s="279"/>
    </row>
    <row r="446" spans="1:12" ht="44.25" hidden="1" customHeight="1" x14ac:dyDescent="0.2">
      <c r="A446" s="182"/>
      <c r="B446" s="182" t="s">
        <v>4595</v>
      </c>
      <c r="C446" s="262" t="str">
        <f>IFERROR(VLOOKUP(B446,'ПО КОРИСНИЦИМА'!$C$16:$S$1823,5,FALSE),"")</f>
        <v/>
      </c>
      <c r="D446" s="248">
        <f>SUMIF('ПО КОРИСНИЦИМА'!$G$16:$G$1823,"Свега за пројекат 1201-П28:",'ПО КОРИСНИЦИМА'!$H$16:$H$1823)</f>
        <v>0</v>
      </c>
      <c r="E446" s="248"/>
      <c r="F446" s="280"/>
      <c r="G446" s="249">
        <f>SUMIF('ПО КОРИСНИЦИМА'!$G$16:$G$1823,"Свега за пројекат 1201-П28:",'ПО КОРИСНИЦИМА'!$L$16:$L$1823)</f>
        <v>0</v>
      </c>
      <c r="H446" s="249"/>
      <c r="I446" s="287"/>
      <c r="J446" s="246">
        <f t="shared" si="16"/>
        <v>0</v>
      </c>
      <c r="K446" s="246"/>
      <c r="L446" s="279"/>
    </row>
    <row r="447" spans="1:12" ht="44.25" hidden="1" customHeight="1" x14ac:dyDescent="0.2">
      <c r="A447" s="182"/>
      <c r="B447" s="182" t="s">
        <v>4596</v>
      </c>
      <c r="C447" s="262" t="str">
        <f>IFERROR(VLOOKUP(B447,'ПО КОРИСНИЦИМА'!$C$16:$S$1823,5,FALSE),"")</f>
        <v/>
      </c>
      <c r="D447" s="248">
        <f>SUMIF('ПО КОРИСНИЦИМА'!$G$16:$G$1823,"Свега за пројекат 1201-П29:",'ПО КОРИСНИЦИМА'!$H$16:$H$1823)</f>
        <v>0</v>
      </c>
      <c r="E447" s="248"/>
      <c r="F447" s="280"/>
      <c r="G447" s="249">
        <f>SUMIF('ПО КОРИСНИЦИМА'!$G$16:$G$1823,"Свега за пројекат 1201-П29:",'ПО КОРИСНИЦИМА'!$L$16:$L$1823)</f>
        <v>0</v>
      </c>
      <c r="H447" s="249"/>
      <c r="I447" s="287"/>
      <c r="J447" s="246">
        <f t="shared" si="16"/>
        <v>0</v>
      </c>
      <c r="K447" s="246"/>
      <c r="L447" s="279"/>
    </row>
    <row r="448" spans="1:12" ht="44.25" hidden="1" customHeight="1" x14ac:dyDescent="0.2">
      <c r="A448" s="182"/>
      <c r="B448" s="182" t="s">
        <v>4597</v>
      </c>
      <c r="C448" s="262" t="str">
        <f>IFERROR(VLOOKUP(B448,'ПО КОРИСНИЦИМА'!$C$16:$S$1823,5,FALSE),"")</f>
        <v/>
      </c>
      <c r="D448" s="248">
        <f>SUMIF('ПО КОРИСНИЦИМА'!$G$16:$G$1823,"Свега за пројекат 1201-П30:",'ПО КОРИСНИЦИМА'!$H$16:$H$1823)</f>
        <v>0</v>
      </c>
      <c r="E448" s="248"/>
      <c r="F448" s="280"/>
      <c r="G448" s="249">
        <f>SUMIF('ПО КОРИСНИЦИМА'!$G$16:$G$1823,"Свега за пројекат 1201-П30:",'ПО КОРИСНИЦИМА'!$L$16:$L$1823)</f>
        <v>0</v>
      </c>
      <c r="H448" s="249"/>
      <c r="I448" s="287"/>
      <c r="J448" s="246">
        <f t="shared" ref="J448:J511" si="17">D448+G448</f>
        <v>0</v>
      </c>
      <c r="K448" s="246"/>
      <c r="L448" s="279"/>
    </row>
    <row r="449" spans="1:12" ht="44.25" hidden="1" customHeight="1" x14ac:dyDescent="0.2">
      <c r="A449" s="182"/>
      <c r="B449" s="182" t="s">
        <v>4598</v>
      </c>
      <c r="C449" s="262" t="str">
        <f>IFERROR(VLOOKUP(B449,'ПО КОРИСНИЦИМА'!$C$16:$S$1823,5,FALSE),"")</f>
        <v/>
      </c>
      <c r="D449" s="248">
        <f>SUMIF('ПО КОРИСНИЦИМА'!$G$16:$G$1823,"Свега за пројекат 1201-П31:",'ПО КОРИСНИЦИМА'!$H$16:$H$1823)</f>
        <v>0</v>
      </c>
      <c r="E449" s="248"/>
      <c r="F449" s="280"/>
      <c r="G449" s="249">
        <f>SUMIF('ПО КОРИСНИЦИМА'!$G$16:$G$1823,"Свега за пројекат 1201-П31:",'ПО КОРИСНИЦИМА'!$L$16:$L$1823)</f>
        <v>0</v>
      </c>
      <c r="H449" s="249"/>
      <c r="I449" s="287"/>
      <c r="J449" s="246">
        <f t="shared" si="17"/>
        <v>0</v>
      </c>
      <c r="K449" s="246"/>
      <c r="L449" s="279"/>
    </row>
    <row r="450" spans="1:12" ht="44.25" hidden="1" customHeight="1" x14ac:dyDescent="0.2">
      <c r="A450" s="182"/>
      <c r="B450" s="182" t="s">
        <v>4599</v>
      </c>
      <c r="C450" s="262" t="str">
        <f>IFERROR(VLOOKUP(B450,'ПО КОРИСНИЦИМА'!$C$16:$S$1823,5,FALSE),"")</f>
        <v/>
      </c>
      <c r="D450" s="248">
        <f>SUMIF('ПО КОРИСНИЦИМА'!$G$16:$G$1823,"Свега за пројекат 1201-П32:",'ПО КОРИСНИЦИМА'!$H$16:$H$1823)</f>
        <v>0</v>
      </c>
      <c r="E450" s="248"/>
      <c r="F450" s="280"/>
      <c r="G450" s="249">
        <f>SUMIF('ПО КОРИСНИЦИМА'!$G$16:$G$1823,"Свега за пројекат 1201-П32:",'ПО КОРИСНИЦИМА'!$L$16:$L$1823)</f>
        <v>0</v>
      </c>
      <c r="H450" s="249"/>
      <c r="I450" s="287"/>
      <c r="J450" s="246">
        <f t="shared" si="17"/>
        <v>0</v>
      </c>
      <c r="K450" s="246"/>
      <c r="L450" s="279"/>
    </row>
    <row r="451" spans="1:12" ht="44.25" hidden="1" customHeight="1" x14ac:dyDescent="0.2">
      <c r="A451" s="182"/>
      <c r="B451" s="182" t="s">
        <v>4600</v>
      </c>
      <c r="C451" s="262" t="str">
        <f>IFERROR(VLOOKUP(B451,'ПО КОРИСНИЦИМА'!$C$16:$S$1823,5,FALSE),"")</f>
        <v/>
      </c>
      <c r="D451" s="248">
        <f>SUMIF('ПО КОРИСНИЦИМА'!$G$16:$G$1823,"Свега за пројекат 1201-П33:",'ПО КОРИСНИЦИМА'!$H$16:$H$1823)</f>
        <v>0</v>
      </c>
      <c r="E451" s="248"/>
      <c r="F451" s="280"/>
      <c r="G451" s="249">
        <f>SUMIF('ПО КОРИСНИЦИМА'!$G$16:$G$1823,"Свега за пројекат 1201-П33:",'ПО КОРИСНИЦИМА'!$L$16:$L$1823)</f>
        <v>0</v>
      </c>
      <c r="H451" s="249"/>
      <c r="I451" s="287"/>
      <c r="J451" s="246">
        <f t="shared" si="17"/>
        <v>0</v>
      </c>
      <c r="K451" s="246"/>
      <c r="L451" s="279"/>
    </row>
    <row r="452" spans="1:12" ht="44.25" hidden="1" customHeight="1" x14ac:dyDescent="0.2">
      <c r="A452" s="182"/>
      <c r="B452" s="182" t="s">
        <v>4601</v>
      </c>
      <c r="C452" s="262" t="str">
        <f>IFERROR(VLOOKUP(B452,'ПО КОРИСНИЦИМА'!$C$16:$S$1823,5,FALSE),"")</f>
        <v/>
      </c>
      <c r="D452" s="248">
        <f>SUMIF('ПО КОРИСНИЦИМА'!$G$16:$G$1823,"Свега за пројекат 1201-П34:",'ПО КОРИСНИЦИМА'!$H$16:$H$1823)</f>
        <v>0</v>
      </c>
      <c r="E452" s="248"/>
      <c r="F452" s="280"/>
      <c r="G452" s="249">
        <f>SUMIF('ПО КОРИСНИЦИМА'!$G$16:$G$1823,"Свега за пројекат 1201-П34:",'ПО КОРИСНИЦИМА'!$L$16:$L$1823)</f>
        <v>0</v>
      </c>
      <c r="H452" s="249"/>
      <c r="I452" s="287"/>
      <c r="J452" s="246">
        <f t="shared" si="17"/>
        <v>0</v>
      </c>
      <c r="K452" s="246"/>
      <c r="L452" s="279"/>
    </row>
    <row r="453" spans="1:12" ht="44.25" hidden="1" customHeight="1" x14ac:dyDescent="0.2">
      <c r="A453" s="182"/>
      <c r="B453" s="182" t="s">
        <v>4602</v>
      </c>
      <c r="C453" s="262" t="str">
        <f>IFERROR(VLOOKUP(B453,'ПО КОРИСНИЦИМА'!$C$16:$S$1823,5,FALSE),"")</f>
        <v/>
      </c>
      <c r="D453" s="248">
        <f>SUMIF('ПО КОРИСНИЦИМА'!$G$16:$G$1823,"Свега за пројекат 1201-П35:",'ПО КОРИСНИЦИМА'!$H$16:$H$1823)</f>
        <v>0</v>
      </c>
      <c r="E453" s="248"/>
      <c r="F453" s="280"/>
      <c r="G453" s="249">
        <f>SUMIF('ПО КОРИСНИЦИМА'!$G$16:$G$1823,"Свега за пројекат 1201-П35:",'ПО КОРИСНИЦИМА'!$L$16:$L$1823)</f>
        <v>0</v>
      </c>
      <c r="H453" s="249"/>
      <c r="I453" s="287"/>
      <c r="J453" s="246">
        <f t="shared" si="17"/>
        <v>0</v>
      </c>
      <c r="K453" s="246"/>
      <c r="L453" s="279"/>
    </row>
    <row r="454" spans="1:12" ht="44.25" hidden="1" customHeight="1" x14ac:dyDescent="0.2">
      <c r="A454" s="182"/>
      <c r="B454" s="182" t="s">
        <v>4603</v>
      </c>
      <c r="C454" s="262" t="str">
        <f>IFERROR(VLOOKUP(B454,'ПО КОРИСНИЦИМА'!$C$16:$S$1823,5,FALSE),"")</f>
        <v/>
      </c>
      <c r="D454" s="248">
        <f>SUMIF('ПО КОРИСНИЦИМА'!$G$16:$G$1823,"Свега за пројекат 1201-П36:",'ПО КОРИСНИЦИМА'!$H$16:$H$1823)</f>
        <v>0</v>
      </c>
      <c r="E454" s="248"/>
      <c r="F454" s="280"/>
      <c r="G454" s="249">
        <f>SUMIF('ПО КОРИСНИЦИМА'!$G$16:$G$1823,"Свега за пројекат 1201-П36:",'ПО КОРИСНИЦИМА'!$L$16:$L$1823)</f>
        <v>0</v>
      </c>
      <c r="H454" s="249"/>
      <c r="I454" s="287"/>
      <c r="J454" s="246">
        <f t="shared" si="17"/>
        <v>0</v>
      </c>
      <c r="K454" s="246"/>
      <c r="L454" s="279"/>
    </row>
    <row r="455" spans="1:12" ht="44.25" hidden="1" customHeight="1" x14ac:dyDescent="0.2">
      <c r="A455" s="182"/>
      <c r="B455" s="182" t="s">
        <v>4604</v>
      </c>
      <c r="C455" s="262" t="str">
        <f>IFERROR(VLOOKUP(B455,'ПО КОРИСНИЦИМА'!$C$16:$S$1823,5,FALSE),"")</f>
        <v/>
      </c>
      <c r="D455" s="248">
        <f>SUMIF('ПО КОРИСНИЦИМА'!$G$16:$G$1823,"Свега за пројекат 1201-П37:",'ПО КОРИСНИЦИМА'!$H$16:$H$1823)</f>
        <v>0</v>
      </c>
      <c r="E455" s="248"/>
      <c r="F455" s="280"/>
      <c r="G455" s="249">
        <f>SUMIF('ПО КОРИСНИЦИМА'!$G$16:$G$1823,"Свега за пројекат 1201-П37:",'ПО КОРИСНИЦИМА'!$L$16:$L$1823)</f>
        <v>0</v>
      </c>
      <c r="H455" s="249"/>
      <c r="I455" s="287"/>
      <c r="J455" s="246">
        <f t="shared" si="17"/>
        <v>0</v>
      </c>
      <c r="K455" s="246"/>
      <c r="L455" s="279"/>
    </row>
    <row r="456" spans="1:12" ht="44.25" hidden="1" customHeight="1" x14ac:dyDescent="0.2">
      <c r="A456" s="182"/>
      <c r="B456" s="182" t="s">
        <v>4605</v>
      </c>
      <c r="C456" s="262" t="str">
        <f>IFERROR(VLOOKUP(B456,'ПО КОРИСНИЦИМА'!$C$16:$S$1823,5,FALSE),"")</f>
        <v/>
      </c>
      <c r="D456" s="248">
        <f>SUMIF('ПО КОРИСНИЦИМА'!$G$16:$G$1823,"Свега за пројекат 1201-П38:",'ПО КОРИСНИЦИМА'!$H$16:$H$1823)</f>
        <v>0</v>
      </c>
      <c r="E456" s="248"/>
      <c r="F456" s="280"/>
      <c r="G456" s="249">
        <f>SUMIF('ПО КОРИСНИЦИМА'!$G$16:$G$1823,"Свега за пројекат 1201-П38:",'ПО КОРИСНИЦИМА'!$L$16:$L$1823)</f>
        <v>0</v>
      </c>
      <c r="H456" s="249"/>
      <c r="I456" s="287"/>
      <c r="J456" s="246">
        <f t="shared" si="17"/>
        <v>0</v>
      </c>
      <c r="K456" s="246"/>
      <c r="L456" s="279"/>
    </row>
    <row r="457" spans="1:12" ht="44.25" hidden="1" customHeight="1" x14ac:dyDescent="0.2">
      <c r="A457" s="182"/>
      <c r="B457" s="182" t="s">
        <v>4606</v>
      </c>
      <c r="C457" s="262" t="str">
        <f>IFERROR(VLOOKUP(B457,'ПО КОРИСНИЦИМА'!$C$16:$S$1823,5,FALSE),"")</f>
        <v/>
      </c>
      <c r="D457" s="248">
        <f>SUMIF('ПО КОРИСНИЦИМА'!$G$16:$G$1823,"Свега за пројекат 1201-П39:",'ПО КОРИСНИЦИМА'!$H$16:$H$1823)</f>
        <v>0</v>
      </c>
      <c r="E457" s="248"/>
      <c r="F457" s="280"/>
      <c r="G457" s="249">
        <f>SUMIF('ПО КОРИСНИЦИМА'!$G$16:$G$1823,"Свега за пројекат 1201-П39:",'ПО КОРИСНИЦИМА'!$L$16:$L$1823)</f>
        <v>0</v>
      </c>
      <c r="H457" s="249"/>
      <c r="I457" s="287"/>
      <c r="J457" s="246">
        <f t="shared" si="17"/>
        <v>0</v>
      </c>
      <c r="K457" s="246"/>
      <c r="L457" s="279"/>
    </row>
    <row r="458" spans="1:12" ht="44.25" hidden="1" customHeight="1" x14ac:dyDescent="0.2">
      <c r="A458" s="182"/>
      <c r="B458" s="182" t="s">
        <v>4607</v>
      </c>
      <c r="C458" s="262" t="str">
        <f>IFERROR(VLOOKUP(B458,'ПО КОРИСНИЦИМА'!$C$16:$S$1823,5,FALSE),"")</f>
        <v/>
      </c>
      <c r="D458" s="248">
        <f>SUMIF('ПО КОРИСНИЦИМА'!$G$16:$G$1823,"Свега за пројекат 1201-П40:",'ПО КОРИСНИЦИМА'!$H$16:$H$1823)</f>
        <v>0</v>
      </c>
      <c r="E458" s="248"/>
      <c r="F458" s="280"/>
      <c r="G458" s="249">
        <f>SUMIF('ПО КОРИСНИЦИМА'!$G$16:$G$1823,"Свега за пројекат 1201-П40:",'ПО КОРИСНИЦИМА'!$L$16:$L$1823)</f>
        <v>0</v>
      </c>
      <c r="H458" s="249"/>
      <c r="I458" s="287"/>
      <c r="J458" s="246">
        <f t="shared" si="17"/>
        <v>0</v>
      </c>
      <c r="K458" s="246"/>
      <c r="L458" s="279"/>
    </row>
    <row r="459" spans="1:12" ht="44.25" hidden="1" customHeight="1" x14ac:dyDescent="0.2">
      <c r="A459" s="182"/>
      <c r="B459" s="182" t="s">
        <v>4608</v>
      </c>
      <c r="C459" s="262" t="str">
        <f>IFERROR(VLOOKUP(B459,'ПО КОРИСНИЦИМА'!$C$16:$S$1823,5,FALSE),"")</f>
        <v/>
      </c>
      <c r="D459" s="248">
        <f>SUMIF('ПО КОРИСНИЦИМА'!$G$16:$G$1823,"Свега за пројекат 1201-П41:",'ПО КОРИСНИЦИМА'!$H$16:$H$1823)</f>
        <v>0</v>
      </c>
      <c r="E459" s="248"/>
      <c r="F459" s="280"/>
      <c r="G459" s="249">
        <f>SUMIF('ПО КОРИСНИЦИМА'!$G$16:$G$1823,"Свега за пројекат 1201-П41:",'ПО КОРИСНИЦИМА'!$L$16:$L$1823)</f>
        <v>0</v>
      </c>
      <c r="H459" s="249"/>
      <c r="I459" s="287"/>
      <c r="J459" s="246">
        <f t="shared" si="17"/>
        <v>0</v>
      </c>
      <c r="K459" s="246"/>
      <c r="L459" s="279"/>
    </row>
    <row r="460" spans="1:12" ht="44.25" hidden="1" customHeight="1" x14ac:dyDescent="0.2">
      <c r="A460" s="182"/>
      <c r="B460" s="182" t="s">
        <v>4609</v>
      </c>
      <c r="C460" s="262" t="str">
        <f>IFERROR(VLOOKUP(B460,'ПО КОРИСНИЦИМА'!$C$16:$S$1823,5,FALSE),"")</f>
        <v/>
      </c>
      <c r="D460" s="248">
        <f>SUMIF('ПО КОРИСНИЦИМА'!$G$16:$G$1823,"Свега за пројекат 1201-П42:",'ПО КОРИСНИЦИМА'!$H$16:$H$1823)</f>
        <v>0</v>
      </c>
      <c r="E460" s="248"/>
      <c r="F460" s="280"/>
      <c r="G460" s="249">
        <f>SUMIF('ПО КОРИСНИЦИМА'!$G$16:$G$1823,"Свега за пројекат 1201-П42:",'ПО КОРИСНИЦИМА'!$L$16:$L$1823)</f>
        <v>0</v>
      </c>
      <c r="H460" s="249"/>
      <c r="I460" s="287"/>
      <c r="J460" s="246">
        <f t="shared" si="17"/>
        <v>0</v>
      </c>
      <c r="K460" s="246"/>
      <c r="L460" s="279"/>
    </row>
    <row r="461" spans="1:12" ht="44.25" hidden="1" customHeight="1" x14ac:dyDescent="0.2">
      <c r="A461" s="182"/>
      <c r="B461" s="182" t="s">
        <v>4610</v>
      </c>
      <c r="C461" s="262" t="str">
        <f>IFERROR(VLOOKUP(B461,'ПО КОРИСНИЦИМА'!$C$16:$S$1823,5,FALSE),"")</f>
        <v/>
      </c>
      <c r="D461" s="248">
        <f>SUMIF('ПО КОРИСНИЦИМА'!$G$16:$G$1823,"Свега за пројекат 1201-П43:",'ПО КОРИСНИЦИМА'!$H$16:$H$1823)</f>
        <v>0</v>
      </c>
      <c r="E461" s="248"/>
      <c r="F461" s="280"/>
      <c r="G461" s="249">
        <f>SUMIF('ПО КОРИСНИЦИМА'!$G$16:$G$1823,"Свега за пројекат 1201-П43:",'ПО КОРИСНИЦИМА'!$L$16:$L$1823)</f>
        <v>0</v>
      </c>
      <c r="H461" s="249"/>
      <c r="I461" s="287"/>
      <c r="J461" s="246">
        <f t="shared" si="17"/>
        <v>0</v>
      </c>
      <c r="K461" s="246"/>
      <c r="L461" s="279"/>
    </row>
    <row r="462" spans="1:12" ht="44.25" hidden="1" customHeight="1" x14ac:dyDescent="0.2">
      <c r="A462" s="182"/>
      <c r="B462" s="182" t="s">
        <v>4611</v>
      </c>
      <c r="C462" s="262" t="str">
        <f>IFERROR(VLOOKUP(B462,'ПО КОРИСНИЦИМА'!$C$16:$S$1823,5,FALSE),"")</f>
        <v/>
      </c>
      <c r="D462" s="248">
        <f>SUMIF('ПО КОРИСНИЦИМА'!$G$16:$G$1823,"Свега за пројекат 1201-П44:",'ПО КОРИСНИЦИМА'!$H$16:$H$1823)</f>
        <v>0</v>
      </c>
      <c r="E462" s="248"/>
      <c r="F462" s="280"/>
      <c r="G462" s="249">
        <f>SUMIF('ПО КОРИСНИЦИМА'!$G$16:$G$1823,"Свега за пројекат 1201-П44:",'ПО КОРИСНИЦИМА'!$L$16:$L$1823)</f>
        <v>0</v>
      </c>
      <c r="H462" s="249"/>
      <c r="I462" s="287"/>
      <c r="J462" s="246">
        <f t="shared" si="17"/>
        <v>0</v>
      </c>
      <c r="K462" s="246"/>
      <c r="L462" s="279"/>
    </row>
    <row r="463" spans="1:12" ht="44.25" hidden="1" customHeight="1" x14ac:dyDescent="0.2">
      <c r="A463" s="182"/>
      <c r="B463" s="182" t="s">
        <v>4612</v>
      </c>
      <c r="C463" s="262" t="str">
        <f>IFERROR(VLOOKUP(B463,'ПО КОРИСНИЦИМА'!$C$16:$S$1823,5,FALSE),"")</f>
        <v/>
      </c>
      <c r="D463" s="248">
        <f>SUMIF('ПО КОРИСНИЦИМА'!$G$16:$G$1823,"Свега за пројекат 1201-П45:",'ПО КОРИСНИЦИМА'!$H$16:$H$1823)</f>
        <v>0</v>
      </c>
      <c r="E463" s="248"/>
      <c r="F463" s="280"/>
      <c r="G463" s="249">
        <f>SUMIF('ПО КОРИСНИЦИМА'!$G$16:$G$1823,"Свега за пројекат 1201-П45:",'ПО КОРИСНИЦИМА'!$L$16:$L$1823)</f>
        <v>0</v>
      </c>
      <c r="H463" s="249"/>
      <c r="I463" s="287"/>
      <c r="J463" s="246">
        <f t="shared" si="17"/>
        <v>0</v>
      </c>
      <c r="K463" s="246"/>
      <c r="L463" s="279"/>
    </row>
    <row r="464" spans="1:12" ht="44.25" hidden="1" customHeight="1" x14ac:dyDescent="0.2">
      <c r="A464" s="182"/>
      <c r="B464" s="182" t="s">
        <v>4613</v>
      </c>
      <c r="C464" s="262" t="str">
        <f>IFERROR(VLOOKUP(B464,'ПО КОРИСНИЦИМА'!$C$16:$S$1823,5,FALSE),"")</f>
        <v/>
      </c>
      <c r="D464" s="248">
        <f>SUMIF('ПО КОРИСНИЦИМА'!$G$16:$G$1823,"Свега за пројекат 1201-П46:",'ПО КОРИСНИЦИМА'!$H$16:$H$1823)</f>
        <v>0</v>
      </c>
      <c r="E464" s="248"/>
      <c r="F464" s="280"/>
      <c r="G464" s="249">
        <f>SUMIF('ПО КОРИСНИЦИМА'!$G$16:$G$1823,"Свега за пројекат 1201-П46:",'ПО КОРИСНИЦИМА'!$L$16:$L$1823)</f>
        <v>0</v>
      </c>
      <c r="H464" s="249"/>
      <c r="I464" s="287"/>
      <c r="J464" s="246">
        <f t="shared" si="17"/>
        <v>0</v>
      </c>
      <c r="K464" s="246"/>
      <c r="L464" s="279"/>
    </row>
    <row r="465" spans="1:12" ht="44.25" hidden="1" customHeight="1" x14ac:dyDescent="0.2">
      <c r="A465" s="182"/>
      <c r="B465" s="182" t="s">
        <v>4614</v>
      </c>
      <c r="C465" s="262" t="str">
        <f>IFERROR(VLOOKUP(B465,'ПО КОРИСНИЦИМА'!$C$16:$S$1823,5,FALSE),"")</f>
        <v/>
      </c>
      <c r="D465" s="248">
        <f>SUMIF('ПО КОРИСНИЦИМА'!$G$16:$G$1823,"Свега за пројекат 1201-П47:",'ПО КОРИСНИЦИМА'!$H$16:$H$1823)</f>
        <v>0</v>
      </c>
      <c r="E465" s="248"/>
      <c r="F465" s="280"/>
      <c r="G465" s="249">
        <f>SUMIF('ПО КОРИСНИЦИМА'!$G$16:$G$1823,"Свега за пројекат 1201-П47:",'ПО КОРИСНИЦИМА'!$L$16:$L$1823)</f>
        <v>0</v>
      </c>
      <c r="H465" s="249"/>
      <c r="I465" s="287"/>
      <c r="J465" s="246">
        <f t="shared" si="17"/>
        <v>0</v>
      </c>
      <c r="K465" s="246"/>
      <c r="L465" s="279"/>
    </row>
    <row r="466" spans="1:12" ht="44.25" hidden="1" customHeight="1" x14ac:dyDescent="0.2">
      <c r="A466" s="182"/>
      <c r="B466" s="182" t="s">
        <v>4615</v>
      </c>
      <c r="C466" s="262" t="str">
        <f>IFERROR(VLOOKUP(B466,'ПО КОРИСНИЦИМА'!$C$16:$S$1823,5,FALSE),"")</f>
        <v/>
      </c>
      <c r="D466" s="248">
        <f>SUMIF('ПО КОРИСНИЦИМА'!$G$16:$G$1823,"Свега за пројекат 1201-П48:",'ПО КОРИСНИЦИМА'!$H$16:$H$1823)</f>
        <v>0</v>
      </c>
      <c r="E466" s="248"/>
      <c r="F466" s="280"/>
      <c r="G466" s="249">
        <f>SUMIF('ПО КОРИСНИЦИМА'!$G$16:$G$1823,"Свега за пројекат 1201-П48:",'ПО КОРИСНИЦИМА'!$L$16:$L$1823)</f>
        <v>0</v>
      </c>
      <c r="H466" s="249"/>
      <c r="I466" s="287"/>
      <c r="J466" s="246">
        <f t="shared" si="17"/>
        <v>0</v>
      </c>
      <c r="K466" s="246"/>
      <c r="L466" s="279"/>
    </row>
    <row r="467" spans="1:12" ht="44.25" hidden="1" customHeight="1" x14ac:dyDescent="0.2">
      <c r="A467" s="182"/>
      <c r="B467" s="182" t="s">
        <v>4616</v>
      </c>
      <c r="C467" s="262" t="str">
        <f>IFERROR(VLOOKUP(B467,'ПО КОРИСНИЦИМА'!$C$16:$S$1823,5,FALSE),"")</f>
        <v/>
      </c>
      <c r="D467" s="248">
        <f>SUMIF('ПО КОРИСНИЦИМА'!$G$16:$G$1823,"Свега за пројекат 1201-П49:",'ПО КОРИСНИЦИМА'!$H$16:$H$1823)</f>
        <v>0</v>
      </c>
      <c r="E467" s="248"/>
      <c r="F467" s="280"/>
      <c r="G467" s="249">
        <f>SUMIF('ПО КОРИСНИЦИМА'!$G$16:$G$1823,"Свега за пројекат 1201-П49:",'ПО КОРИСНИЦИМА'!$L$16:$L$1823)</f>
        <v>0</v>
      </c>
      <c r="H467" s="249"/>
      <c r="I467" s="287"/>
      <c r="J467" s="246">
        <f t="shared" si="17"/>
        <v>0</v>
      </c>
      <c r="K467" s="246"/>
      <c r="L467" s="279"/>
    </row>
    <row r="468" spans="1:12" ht="44.25" hidden="1" customHeight="1" x14ac:dyDescent="0.2">
      <c r="A468" s="183"/>
      <c r="B468" s="182" t="s">
        <v>4617</v>
      </c>
      <c r="C468" s="262" t="str">
        <f>IFERROR(VLOOKUP(B468,'ПО КОРИСНИЦИМА'!$C$16:$S$1823,5,FALSE),"")</f>
        <v/>
      </c>
      <c r="D468" s="248">
        <f>SUMIF('ПО КОРИСНИЦИМА'!$G$16:$G$1823,"Свега за пројекат 1201-П50:",'ПО КОРИСНИЦИМА'!$H$16:$H$1823)</f>
        <v>0</v>
      </c>
      <c r="E468" s="248"/>
      <c r="F468" s="280"/>
      <c r="G468" s="249">
        <f>SUMIF('ПО КОРИСНИЦИМА'!$G$16:$G$1823,"Свега за пројекат 1201-П50:",'ПО КОРИСНИЦИМА'!$L$16:$L$1823)</f>
        <v>0</v>
      </c>
      <c r="H468" s="249"/>
      <c r="I468" s="287"/>
      <c r="J468" s="246">
        <f t="shared" si="17"/>
        <v>0</v>
      </c>
      <c r="K468" s="272"/>
      <c r="L468" s="294"/>
    </row>
    <row r="469" spans="1:12" s="180" customFormat="1" ht="44.25" customHeight="1" x14ac:dyDescent="0.2">
      <c r="A469" s="173" t="s">
        <v>3600</v>
      </c>
      <c r="B469" s="174"/>
      <c r="C469" s="260" t="s">
        <v>3680</v>
      </c>
      <c r="D469" s="242">
        <f>SUM(D470:D522)</f>
        <v>12280000</v>
      </c>
      <c r="E469" s="242">
        <f>SUM(E470:E522)</f>
        <v>10776655.870000001</v>
      </c>
      <c r="F469" s="282"/>
      <c r="G469" s="243">
        <f>SUM(G470:G522)</f>
        <v>0</v>
      </c>
      <c r="H469" s="243">
        <f>SUM(H470:H522)</f>
        <v>0</v>
      </c>
      <c r="I469" s="289"/>
      <c r="J469" s="242">
        <f t="shared" si="17"/>
        <v>12280000</v>
      </c>
      <c r="K469" s="242">
        <f>E469+H469</f>
        <v>10776655.870000001</v>
      </c>
      <c r="L469" s="282"/>
    </row>
    <row r="470" spans="1:12" ht="38.25" x14ac:dyDescent="0.2">
      <c r="A470" s="176"/>
      <c r="B470" s="181" t="s">
        <v>4079</v>
      </c>
      <c r="C470" s="269" t="s">
        <v>4080</v>
      </c>
      <c r="D470" s="244">
        <f>SUMIF('ПО КОРИСНИЦИМА'!$G$16:$G$1823,"Свега за програмску активност 1301-0001:",'ПО КОРИСНИЦИМА'!$H$16:$H$1823)</f>
        <v>12000000</v>
      </c>
      <c r="E470" s="244">
        <f>SUMIF('ПО КОРИСНИЦИМА'!$G$16:$G$1823,"Свега за програмску активност 1301-0001:",'ПО КОРИСНИЦИМА'!$I$16:$I$1823)</f>
        <v>10523491.23</v>
      </c>
      <c r="F470" s="278"/>
      <c r="G470" s="245">
        <f>SUMIF('ПО КОРИСНИЦИМА'!$G$16:$G$1823,"Свега за програмску активност 1301-0001:",'ПО КОРИСНИЦИМА'!$L$16:$L$1823)</f>
        <v>0</v>
      </c>
      <c r="H470" s="245">
        <f>SUMIF('ПО КОРИСНИЦИМА'!$G$16:$G$1823,"Свега за програмску активност 1301-0001:",'ПО КОРИСНИЦИМА'!$M$16:$M$1823)</f>
        <v>0</v>
      </c>
      <c r="I470" s="285"/>
      <c r="J470" s="255">
        <f t="shared" si="17"/>
        <v>12000000</v>
      </c>
      <c r="K470" s="255">
        <f>E470+H470</f>
        <v>10523491.23</v>
      </c>
      <c r="L470" s="297"/>
    </row>
    <row r="471" spans="1:12" ht="25.5" x14ac:dyDescent="0.2">
      <c r="A471" s="178"/>
      <c r="B471" s="182" t="s">
        <v>4081</v>
      </c>
      <c r="C471" s="270" t="s">
        <v>5182</v>
      </c>
      <c r="D471" s="246">
        <f>SUMIF('ПО КОРИСНИЦИМА'!$G$16:$G$1823,"Свега за програмску активност 1301-0002:",'ПО КОРИСНИЦИМА'!$H$16:$H$1823)</f>
        <v>280000</v>
      </c>
      <c r="E471" s="246">
        <f>SUMIF('ПО КОРИСНИЦИМА'!$G$16:$G$1823,"Свега за програмску активност 1301-0002:",'ПО КОРИСНИЦИМА'!$I$16:$I$1823)</f>
        <v>253164.64</v>
      </c>
      <c r="F471" s="279"/>
      <c r="G471" s="247">
        <f>SUMIF('ПО КОРИСНИЦИМА'!$G$16:$G$1823,"Свега за програмску активност 1301-0002:",'ПО КОРИСНИЦИМА'!$L$16:$L$1823)</f>
        <v>0</v>
      </c>
      <c r="H471" s="247">
        <f>SUMIF('ПО КОРИСНИЦИМА'!$G$16:$G$1823,"Свега за програмску активност 1301-0002:",'ПО КОРИСНИЦИМА'!$M$16:$M$1823)</f>
        <v>0</v>
      </c>
      <c r="I471" s="286"/>
      <c r="J471" s="192">
        <f t="shared" si="17"/>
        <v>280000</v>
      </c>
      <c r="K471" s="192">
        <f>E471+H471</f>
        <v>253164.64</v>
      </c>
      <c r="L471" s="298"/>
    </row>
    <row r="472" spans="1:12" ht="25.5" hidden="1" x14ac:dyDescent="0.2">
      <c r="A472" s="178"/>
      <c r="B472" s="182" t="s">
        <v>4082</v>
      </c>
      <c r="C472" s="270" t="s">
        <v>4083</v>
      </c>
      <c r="D472" s="246">
        <f>SUMIF('ПО КОРИСНИЦИМА'!$G$16:$G$1823,"Свега за програмску активност 1301-0003:",'ПО КОРИСНИЦИМА'!$H$16:$H$1823)</f>
        <v>0</v>
      </c>
      <c r="E472" s="246">
        <f>SUMIF('ПО КОРИСНИЦИМА'!$G$16:$G$1823,"Свега за програмску активност 1301-0003:",'ПО КОРИСНИЦИМА'!$I$16:$I$1823)</f>
        <v>0</v>
      </c>
      <c r="F472" s="279"/>
      <c r="G472" s="247">
        <f>SUMIF('ПО КОРИСНИЦИМА'!$G$16:$G$1823,"Свега за програмску активност 1301-0003:",'ПО КОРИСНИЦИМА'!$L$16:$L$1823)</f>
        <v>0</v>
      </c>
      <c r="H472" s="247">
        <f>SUMIF('ПО КОРИСНИЦИМА'!$G$16:$G$1823,"Свега за програмску активност 1301-0003:",'ПО КОРИСНИЦИМА'!$M$16:$M$1823)</f>
        <v>0</v>
      </c>
      <c r="I472" s="286"/>
      <c r="J472" s="192">
        <f t="shared" si="17"/>
        <v>0</v>
      </c>
      <c r="K472" s="192">
        <f>E472+H472</f>
        <v>0</v>
      </c>
      <c r="L472" s="298"/>
    </row>
    <row r="473" spans="1:12" hidden="1" x14ac:dyDescent="0.2">
      <c r="A473" s="182"/>
      <c r="B473" s="182" t="s">
        <v>4618</v>
      </c>
      <c r="C473" s="262" t="str">
        <f>IFERROR(VLOOKUP(B473,'ПО КОРИСНИЦИМА'!$C$16:$S$1823,5,FALSE),"")</f>
        <v/>
      </c>
      <c r="D473" s="248">
        <f>SUMIF('ПО КОРИСНИЦИМА'!$G$16:$G$1823,"Свега за пројекат 1301-П1:",'ПО КОРИСНИЦИМА'!$H$16:$H$1823)</f>
        <v>0</v>
      </c>
      <c r="E473" s="248"/>
      <c r="F473" s="280"/>
      <c r="G473" s="249">
        <f>SUMIF('ПО КОРИСНИЦИМА'!$G$16:$G$1823,"Свега за пројекат 1301-П1:",'ПО КОРИСНИЦИМА'!$L$16:$L$1823)</f>
        <v>0</v>
      </c>
      <c r="H473" s="249"/>
      <c r="I473" s="287"/>
      <c r="J473" s="192">
        <f t="shared" si="17"/>
        <v>0</v>
      </c>
      <c r="K473" s="192"/>
      <c r="L473" s="298"/>
    </row>
    <row r="474" spans="1:12" hidden="1" x14ac:dyDescent="0.2">
      <c r="A474" s="182"/>
      <c r="B474" s="182" t="s">
        <v>4619</v>
      </c>
      <c r="C474" s="262" t="str">
        <f>IFERROR(VLOOKUP(B474,'ПО КОРИСНИЦИМА'!$C$16:$S$1823,5,FALSE),"")</f>
        <v/>
      </c>
      <c r="D474" s="248">
        <f>SUMIF('ПО КОРИСНИЦИМА'!$G$16:$G$1823,"Свега за пројекат 1301-П2:",'ПО КОРИСНИЦИМА'!$H$16:$H$1823)</f>
        <v>0</v>
      </c>
      <c r="E474" s="248"/>
      <c r="F474" s="280"/>
      <c r="G474" s="249">
        <f>SUMIF('ПО КОРИСНИЦИМА'!$G$16:$G$1823,"Свега за пројекат 1301-П2:",'ПО КОРИСНИЦИМА'!$L$16:$L$1823)</f>
        <v>0</v>
      </c>
      <c r="H474" s="249"/>
      <c r="I474" s="287"/>
      <c r="J474" s="246">
        <f t="shared" si="17"/>
        <v>0</v>
      </c>
      <c r="K474" s="246"/>
      <c r="L474" s="279"/>
    </row>
    <row r="475" spans="1:12" hidden="1" x14ac:dyDescent="0.2">
      <c r="A475" s="182"/>
      <c r="B475" s="182" t="s">
        <v>4620</v>
      </c>
      <c r="C475" s="262" t="str">
        <f>IFERROR(VLOOKUP(B475,'ПО КОРИСНИЦИМА'!$C$16:$S$1823,5,FALSE),"")</f>
        <v/>
      </c>
      <c r="D475" s="248">
        <f>SUMIF('ПО КОРИСНИЦИМА'!$G$16:$G$1823,"Свега за пројекат 1301-П3:",'ПО КОРИСНИЦИМА'!$H$16:$H$1823)</f>
        <v>0</v>
      </c>
      <c r="E475" s="248"/>
      <c r="F475" s="280"/>
      <c r="G475" s="249">
        <f>SUMIF('ПО КОРИСНИЦИМА'!$G$16:$G$1823,"Свега за пројекат 1301-П3:",'ПО КОРИСНИЦИМА'!$L$16:$L$1823)</f>
        <v>0</v>
      </c>
      <c r="H475" s="249"/>
      <c r="I475" s="287"/>
      <c r="J475" s="246">
        <f t="shared" si="17"/>
        <v>0</v>
      </c>
      <c r="K475" s="246"/>
      <c r="L475" s="279"/>
    </row>
    <row r="476" spans="1:12" hidden="1" x14ac:dyDescent="0.2">
      <c r="A476" s="182"/>
      <c r="B476" s="182" t="s">
        <v>4621</v>
      </c>
      <c r="C476" s="262" t="str">
        <f>IFERROR(VLOOKUP(B476,'ПО КОРИСНИЦИМА'!$C$16:$S$1823,5,FALSE),"")</f>
        <v/>
      </c>
      <c r="D476" s="248">
        <f>SUMIF('ПО КОРИСНИЦИМА'!$G$16:$G$1823,"Свега за пројекат 1301-П4:",'ПО КОРИСНИЦИМА'!$H$16:$H$1823)</f>
        <v>0</v>
      </c>
      <c r="E476" s="248"/>
      <c r="F476" s="280"/>
      <c r="G476" s="249">
        <f>SUMIF('ПО КОРИСНИЦИМА'!$G$16:$G$1823,"Свега за пројекат 1301-П4:",'ПО КОРИСНИЦИМА'!$L$16:$L$1823)</f>
        <v>0</v>
      </c>
      <c r="H476" s="249"/>
      <c r="I476" s="287"/>
      <c r="J476" s="246">
        <f t="shared" si="17"/>
        <v>0</v>
      </c>
      <c r="K476" s="246"/>
      <c r="L476" s="279"/>
    </row>
    <row r="477" spans="1:12" hidden="1" x14ac:dyDescent="0.2">
      <c r="A477" s="182"/>
      <c r="B477" s="182" t="s">
        <v>4622</v>
      </c>
      <c r="C477" s="262" t="str">
        <f>IFERROR(VLOOKUP(B477,'ПО КОРИСНИЦИМА'!$C$16:$S$1823,5,FALSE),"")</f>
        <v/>
      </c>
      <c r="D477" s="248">
        <f>SUMIF('ПО КОРИСНИЦИМА'!$G$16:$G$1823,"Свега за пројекат 1301-П5:",'ПО КОРИСНИЦИМА'!$H$16:$H$1823)</f>
        <v>0</v>
      </c>
      <c r="E477" s="248"/>
      <c r="F477" s="280"/>
      <c r="G477" s="249">
        <f>SUMIF('ПО КОРИСНИЦИМА'!$G$16:$G$1823,"Свега за пројекат 1301-П5:",'ПО КОРИСНИЦИМА'!$L$16:$L$1823)</f>
        <v>0</v>
      </c>
      <c r="H477" s="249"/>
      <c r="I477" s="287"/>
      <c r="J477" s="246">
        <f t="shared" si="17"/>
        <v>0</v>
      </c>
      <c r="K477" s="246"/>
      <c r="L477" s="279"/>
    </row>
    <row r="478" spans="1:12" hidden="1" x14ac:dyDescent="0.2">
      <c r="A478" s="182"/>
      <c r="B478" s="182" t="s">
        <v>4623</v>
      </c>
      <c r="C478" s="262" t="str">
        <f>IFERROR(VLOOKUP(B478,'ПО КОРИСНИЦИМА'!$C$16:$S$1823,5,FALSE),"")</f>
        <v/>
      </c>
      <c r="D478" s="248">
        <f>SUMIF('ПО КОРИСНИЦИМА'!$G$16:$G$1823,"Свега за пројекат 1301-П6:",'ПО КОРИСНИЦИМА'!$H$16:$H$1823)</f>
        <v>0</v>
      </c>
      <c r="E478" s="248"/>
      <c r="F478" s="280"/>
      <c r="G478" s="249">
        <f>SUMIF('ПО КОРИСНИЦИМА'!$G$16:$G$1823,"Свега за пројекат 1301-П6:",'ПО КОРИСНИЦИМА'!$L$16:$L$1823)</f>
        <v>0</v>
      </c>
      <c r="H478" s="249"/>
      <c r="I478" s="287"/>
      <c r="J478" s="246">
        <f t="shared" si="17"/>
        <v>0</v>
      </c>
      <c r="K478" s="246"/>
      <c r="L478" s="279"/>
    </row>
    <row r="479" spans="1:12" hidden="1" x14ac:dyDescent="0.2">
      <c r="A479" s="182"/>
      <c r="B479" s="182" t="s">
        <v>4624</v>
      </c>
      <c r="C479" s="262" t="str">
        <f>IFERROR(VLOOKUP(B479,'ПО КОРИСНИЦИМА'!$C$16:$S$1823,5,FALSE),"")</f>
        <v/>
      </c>
      <c r="D479" s="248">
        <f>SUMIF('ПО КОРИСНИЦИМА'!$G$16:$G$1823,"Свега за пројекат 1301-П7:",'ПО КОРИСНИЦИМА'!$H$16:$H$1823)</f>
        <v>0</v>
      </c>
      <c r="E479" s="248"/>
      <c r="F479" s="280"/>
      <c r="G479" s="249">
        <f>SUMIF('ПО КОРИСНИЦИМА'!$G$16:$G$1823,"Свега за пројекат 1301-П7:",'ПО КОРИСНИЦИМА'!$L$16:$L$1823)</f>
        <v>0</v>
      </c>
      <c r="H479" s="249"/>
      <c r="I479" s="287"/>
      <c r="J479" s="246">
        <f t="shared" si="17"/>
        <v>0</v>
      </c>
      <c r="K479" s="246"/>
      <c r="L479" s="279"/>
    </row>
    <row r="480" spans="1:12" hidden="1" x14ac:dyDescent="0.2">
      <c r="A480" s="182"/>
      <c r="B480" s="182" t="s">
        <v>4625</v>
      </c>
      <c r="C480" s="262" t="str">
        <f>IFERROR(VLOOKUP(B480,'ПО КОРИСНИЦИМА'!$C$16:$S$1823,5,FALSE),"")</f>
        <v/>
      </c>
      <c r="D480" s="248">
        <f>SUMIF('ПО КОРИСНИЦИМА'!$G$16:$G$1823,"Свега за пројекат 1301-П8:",'ПО КОРИСНИЦИМА'!$H$16:$H$1823)</f>
        <v>0</v>
      </c>
      <c r="E480" s="248"/>
      <c r="F480" s="280"/>
      <c r="G480" s="249">
        <f>SUMIF('ПО КОРИСНИЦИМА'!$G$16:$G$1823,"Свега за пројекат 1301-П8:",'ПО КОРИСНИЦИМА'!$L$16:$L$1823)</f>
        <v>0</v>
      </c>
      <c r="H480" s="249"/>
      <c r="I480" s="287"/>
      <c r="J480" s="246">
        <f t="shared" si="17"/>
        <v>0</v>
      </c>
      <c r="K480" s="246"/>
      <c r="L480" s="279"/>
    </row>
    <row r="481" spans="1:12" hidden="1" x14ac:dyDescent="0.2">
      <c r="A481" s="182"/>
      <c r="B481" s="182" t="s">
        <v>4626</v>
      </c>
      <c r="C481" s="262" t="str">
        <f>IFERROR(VLOOKUP(B481,'ПО КОРИСНИЦИМА'!$C$16:$S$1823,5,FALSE),"")</f>
        <v/>
      </c>
      <c r="D481" s="248">
        <f>SUMIF('ПО КОРИСНИЦИМА'!$G$16:$G$1823,"Свега за пројекат 1301-П9:",'ПО КОРИСНИЦИМА'!$H$16:$H$1823)</f>
        <v>0</v>
      </c>
      <c r="E481" s="248"/>
      <c r="F481" s="280"/>
      <c r="G481" s="249">
        <f>SUMIF('ПО КОРИСНИЦИМА'!$G$16:$G$1823,"Свега за пројекат 1301-П9:",'ПО КОРИСНИЦИМА'!$L$16:$L$1823)</f>
        <v>0</v>
      </c>
      <c r="H481" s="249"/>
      <c r="I481" s="287"/>
      <c r="J481" s="246">
        <f t="shared" si="17"/>
        <v>0</v>
      </c>
      <c r="K481" s="246"/>
      <c r="L481" s="279"/>
    </row>
    <row r="482" spans="1:12" hidden="1" x14ac:dyDescent="0.2">
      <c r="A482" s="182"/>
      <c r="B482" s="182" t="s">
        <v>4627</v>
      </c>
      <c r="C482" s="262" t="str">
        <f>IFERROR(VLOOKUP(B482,'ПО КОРИСНИЦИМА'!$C$16:$S$1823,5,FALSE),"")</f>
        <v/>
      </c>
      <c r="D482" s="248">
        <f>SUMIF('ПО КОРИСНИЦИМА'!$G$16:$G$1823,"Свега за пројекат 1301-П10:",'ПО КОРИСНИЦИМА'!$H$16:$H$1823)</f>
        <v>0</v>
      </c>
      <c r="E482" s="248"/>
      <c r="F482" s="280"/>
      <c r="G482" s="249">
        <f>SUMIF('ПО КОРИСНИЦИМА'!$G$16:$G$1823,"Свега за пројекат 1301-П10:",'ПО КОРИСНИЦИМА'!$L$16:$L$1823)</f>
        <v>0</v>
      </c>
      <c r="H482" s="249"/>
      <c r="I482" s="287"/>
      <c r="J482" s="246">
        <f t="shared" si="17"/>
        <v>0</v>
      </c>
      <c r="K482" s="246"/>
      <c r="L482" s="279"/>
    </row>
    <row r="483" spans="1:12" hidden="1" x14ac:dyDescent="0.2">
      <c r="A483" s="182"/>
      <c r="B483" s="182" t="s">
        <v>4628</v>
      </c>
      <c r="C483" s="262" t="str">
        <f>IFERROR(VLOOKUP(B483,'ПО КОРИСНИЦИМА'!$C$16:$S$1823,5,FALSE),"")</f>
        <v/>
      </c>
      <c r="D483" s="248">
        <f>SUMIF('ПО КОРИСНИЦИМА'!$G$16:$G$1823,"Свега за пројекат 1301-П11:",'ПО КОРИСНИЦИМА'!$H$16:$H$1823)</f>
        <v>0</v>
      </c>
      <c r="E483" s="248"/>
      <c r="F483" s="280"/>
      <c r="G483" s="249">
        <f>SUMIF('ПО КОРИСНИЦИМА'!$G$16:$G$1823,"Свега за пројекат 1301-П11:",'ПО КОРИСНИЦИМА'!$L$16:$L$1823)</f>
        <v>0</v>
      </c>
      <c r="H483" s="249"/>
      <c r="I483" s="287"/>
      <c r="J483" s="246">
        <f t="shared" si="17"/>
        <v>0</v>
      </c>
      <c r="K483" s="246"/>
      <c r="L483" s="279"/>
    </row>
    <row r="484" spans="1:12" hidden="1" x14ac:dyDescent="0.2">
      <c r="A484" s="182"/>
      <c r="B484" s="182" t="s">
        <v>4629</v>
      </c>
      <c r="C484" s="262" t="str">
        <f>IFERROR(VLOOKUP(B484,'ПО КОРИСНИЦИМА'!$C$16:$S$1823,5,FALSE),"")</f>
        <v/>
      </c>
      <c r="D484" s="248">
        <f>SUMIF('ПО КОРИСНИЦИМА'!$G$16:$G$1823,"Свега за пројекат 1301-П12:",'ПО КОРИСНИЦИМА'!$H$16:$H$1823)</f>
        <v>0</v>
      </c>
      <c r="E484" s="248"/>
      <c r="F484" s="280"/>
      <c r="G484" s="249">
        <f>SUMIF('ПО КОРИСНИЦИМА'!$G$16:$G$1823,"Свега за пројекат 1301-П12:",'ПО КОРИСНИЦИМА'!$L$16:$L$1823)</f>
        <v>0</v>
      </c>
      <c r="H484" s="249"/>
      <c r="I484" s="287"/>
      <c r="J484" s="246">
        <f t="shared" si="17"/>
        <v>0</v>
      </c>
      <c r="K484" s="246"/>
      <c r="L484" s="279"/>
    </row>
    <row r="485" spans="1:12" hidden="1" x14ac:dyDescent="0.2">
      <c r="A485" s="182"/>
      <c r="B485" s="182" t="s">
        <v>4630</v>
      </c>
      <c r="C485" s="262" t="str">
        <f>IFERROR(VLOOKUP(B485,'ПО КОРИСНИЦИМА'!$C$16:$S$1823,5,FALSE),"")</f>
        <v/>
      </c>
      <c r="D485" s="248">
        <f>SUMIF('ПО КОРИСНИЦИМА'!$G$16:$G$1823,"Свега за пројекат 1301-П13:",'ПО КОРИСНИЦИМА'!$H$16:$H$1823)</f>
        <v>0</v>
      </c>
      <c r="E485" s="248"/>
      <c r="F485" s="280"/>
      <c r="G485" s="249">
        <f>SUMIF('ПО КОРИСНИЦИМА'!$G$16:$G$1823,"Свега за пројекат 1301-П13:",'ПО КОРИСНИЦИМА'!$L$16:$L$1823)</f>
        <v>0</v>
      </c>
      <c r="H485" s="249"/>
      <c r="I485" s="287"/>
      <c r="J485" s="246">
        <f t="shared" si="17"/>
        <v>0</v>
      </c>
      <c r="K485" s="246"/>
      <c r="L485" s="279"/>
    </row>
    <row r="486" spans="1:12" hidden="1" x14ac:dyDescent="0.2">
      <c r="A486" s="182"/>
      <c r="B486" s="182" t="s">
        <v>4631</v>
      </c>
      <c r="C486" s="262" t="str">
        <f>IFERROR(VLOOKUP(B486,'ПО КОРИСНИЦИМА'!$C$16:$S$1823,5,FALSE),"")</f>
        <v/>
      </c>
      <c r="D486" s="248">
        <f>SUMIF('ПО КОРИСНИЦИМА'!$G$16:$G$1823,"Свега за пројекат 1301-П14:",'ПО КОРИСНИЦИМА'!$H$16:$H$1823)</f>
        <v>0</v>
      </c>
      <c r="E486" s="248"/>
      <c r="F486" s="280"/>
      <c r="G486" s="249">
        <f>SUMIF('ПО КОРИСНИЦИМА'!$G$16:$G$1823,"Свега за пројекат 1301-П14:",'ПО КОРИСНИЦИМА'!$L$16:$L$1823)</f>
        <v>0</v>
      </c>
      <c r="H486" s="249"/>
      <c r="I486" s="287"/>
      <c r="J486" s="246">
        <f t="shared" si="17"/>
        <v>0</v>
      </c>
      <c r="K486" s="246"/>
      <c r="L486" s="279"/>
    </row>
    <row r="487" spans="1:12" hidden="1" x14ac:dyDescent="0.2">
      <c r="A487" s="182"/>
      <c r="B487" s="182" t="s">
        <v>4632</v>
      </c>
      <c r="C487" s="262" t="str">
        <f>IFERROR(VLOOKUP(B487,'ПО КОРИСНИЦИМА'!$C$16:$S$1823,5,FALSE),"")</f>
        <v/>
      </c>
      <c r="D487" s="248">
        <f>SUMIF('ПО КОРИСНИЦИМА'!$G$16:$G$1823,"Свега за пројекат 1301-П15:",'ПО КОРИСНИЦИМА'!$H$16:$H$1823)</f>
        <v>0</v>
      </c>
      <c r="E487" s="248"/>
      <c r="F487" s="280"/>
      <c r="G487" s="249">
        <f>SUMIF('ПО КОРИСНИЦИМА'!$G$16:$G$1823,"Свега за пројекат 1301-П15:",'ПО КОРИСНИЦИМА'!$L$16:$L$1823)</f>
        <v>0</v>
      </c>
      <c r="H487" s="249"/>
      <c r="I487" s="287"/>
      <c r="J487" s="246">
        <f t="shared" si="17"/>
        <v>0</v>
      </c>
      <c r="K487" s="246"/>
      <c r="L487" s="279"/>
    </row>
    <row r="488" spans="1:12" hidden="1" x14ac:dyDescent="0.2">
      <c r="A488" s="182"/>
      <c r="B488" s="182" t="s">
        <v>4633</v>
      </c>
      <c r="C488" s="262" t="str">
        <f>IFERROR(VLOOKUP(B488,'ПО КОРИСНИЦИМА'!$C$16:$S$1823,5,FALSE),"")</f>
        <v/>
      </c>
      <c r="D488" s="248">
        <f>SUMIF('ПО КОРИСНИЦИМА'!$G$16:$G$1823,"Свега за пројекат 1301-П16:",'ПО КОРИСНИЦИМА'!$H$16:$H$1823)</f>
        <v>0</v>
      </c>
      <c r="E488" s="248"/>
      <c r="F488" s="280"/>
      <c r="G488" s="249">
        <f>SUMIF('ПО КОРИСНИЦИМА'!$G$16:$G$1823,"Свега за пројекат 1301-П16:",'ПО КОРИСНИЦИМА'!$L$16:$L$1823)</f>
        <v>0</v>
      </c>
      <c r="H488" s="249"/>
      <c r="I488" s="287"/>
      <c r="J488" s="246">
        <f t="shared" si="17"/>
        <v>0</v>
      </c>
      <c r="K488" s="246"/>
      <c r="L488" s="279"/>
    </row>
    <row r="489" spans="1:12" hidden="1" x14ac:dyDescent="0.2">
      <c r="A489" s="182"/>
      <c r="B489" s="182" t="s">
        <v>4634</v>
      </c>
      <c r="C489" s="262" t="str">
        <f>IFERROR(VLOOKUP(B489,'ПО КОРИСНИЦИМА'!$C$16:$S$1823,5,FALSE),"")</f>
        <v/>
      </c>
      <c r="D489" s="248">
        <f>SUMIF('ПО КОРИСНИЦИМА'!$G$16:$G$1823,"Свега за пројекат 1301-П17:",'ПО КОРИСНИЦИМА'!$H$16:$H$1823)</f>
        <v>0</v>
      </c>
      <c r="E489" s="248"/>
      <c r="F489" s="280"/>
      <c r="G489" s="249">
        <f>SUMIF('ПО КОРИСНИЦИМА'!$G$16:$G$1823,"Свега за пројекат 1301-П17:",'ПО КОРИСНИЦИМА'!$L$16:$L$1823)</f>
        <v>0</v>
      </c>
      <c r="H489" s="249"/>
      <c r="I489" s="287"/>
      <c r="J489" s="246">
        <f t="shared" si="17"/>
        <v>0</v>
      </c>
      <c r="K489" s="246"/>
      <c r="L489" s="279"/>
    </row>
    <row r="490" spans="1:12" hidden="1" x14ac:dyDescent="0.2">
      <c r="A490" s="182"/>
      <c r="B490" s="182" t="s">
        <v>4635</v>
      </c>
      <c r="C490" s="262" t="str">
        <f>IFERROR(VLOOKUP(B490,'ПО КОРИСНИЦИМА'!$C$16:$S$1823,5,FALSE),"")</f>
        <v/>
      </c>
      <c r="D490" s="248">
        <f>SUMIF('ПО КОРИСНИЦИМА'!$G$16:$G$1823,"Свега за пројекат 1301-П18:",'ПО КОРИСНИЦИМА'!$H$16:$H$1823)</f>
        <v>0</v>
      </c>
      <c r="E490" s="248"/>
      <c r="F490" s="280"/>
      <c r="G490" s="249">
        <f>SUMIF('ПО КОРИСНИЦИМА'!$G$16:$G$1823,"Свега за пројекат 1301-П18:",'ПО КОРИСНИЦИМА'!$L$16:$L$1823)</f>
        <v>0</v>
      </c>
      <c r="H490" s="249"/>
      <c r="I490" s="287"/>
      <c r="J490" s="246">
        <f t="shared" si="17"/>
        <v>0</v>
      </c>
      <c r="K490" s="246"/>
      <c r="L490" s="279"/>
    </row>
    <row r="491" spans="1:12" hidden="1" x14ac:dyDescent="0.2">
      <c r="A491" s="182"/>
      <c r="B491" s="182" t="s">
        <v>4636</v>
      </c>
      <c r="C491" s="262" t="str">
        <f>IFERROR(VLOOKUP(B491,'ПО КОРИСНИЦИМА'!$C$16:$S$1823,5,FALSE),"")</f>
        <v/>
      </c>
      <c r="D491" s="248">
        <f>SUMIF('ПО КОРИСНИЦИМА'!$G$16:$G$1823,"Свега за пројекат 1301-П19:",'ПО КОРИСНИЦИМА'!$H$16:$H$1823)</f>
        <v>0</v>
      </c>
      <c r="E491" s="248"/>
      <c r="F491" s="280"/>
      <c r="G491" s="249">
        <f>SUMIF('ПО КОРИСНИЦИМА'!$G$16:$G$1823,"Свега за пројекат 1301-П19:",'ПО КОРИСНИЦИМА'!$L$16:$L$1823)</f>
        <v>0</v>
      </c>
      <c r="H491" s="249"/>
      <c r="I491" s="287"/>
      <c r="J491" s="246">
        <f t="shared" si="17"/>
        <v>0</v>
      </c>
      <c r="K491" s="246"/>
      <c r="L491" s="279"/>
    </row>
    <row r="492" spans="1:12" hidden="1" x14ac:dyDescent="0.2">
      <c r="A492" s="182"/>
      <c r="B492" s="182" t="s">
        <v>4637</v>
      </c>
      <c r="C492" s="262" t="str">
        <f>IFERROR(VLOOKUP(B492,'ПО КОРИСНИЦИМА'!$C$16:$S$1823,5,FALSE),"")</f>
        <v/>
      </c>
      <c r="D492" s="248">
        <f>SUMIF('ПО КОРИСНИЦИМА'!$G$16:$G$1823,"Свега за пројекат 1301-П20:",'ПО КОРИСНИЦИМА'!$H$16:$H$1823)</f>
        <v>0</v>
      </c>
      <c r="E492" s="248"/>
      <c r="F492" s="280"/>
      <c r="G492" s="249">
        <f>SUMIF('ПО КОРИСНИЦИМА'!$G$16:$G$1823,"Свега за пројекат 1301-П20:",'ПО КОРИСНИЦИМА'!$L$16:$L$1823)</f>
        <v>0</v>
      </c>
      <c r="H492" s="249"/>
      <c r="I492" s="287"/>
      <c r="J492" s="246">
        <f t="shared" si="17"/>
        <v>0</v>
      </c>
      <c r="K492" s="246"/>
      <c r="L492" s="279"/>
    </row>
    <row r="493" spans="1:12" hidden="1" x14ac:dyDescent="0.2">
      <c r="A493" s="182"/>
      <c r="B493" s="182" t="s">
        <v>4638</v>
      </c>
      <c r="C493" s="262" t="str">
        <f>IFERROR(VLOOKUP(B493,'ПО КОРИСНИЦИМА'!$C$16:$S$1823,5,FALSE),"")</f>
        <v/>
      </c>
      <c r="D493" s="248">
        <f>SUMIF('ПО КОРИСНИЦИМА'!$G$16:$G$1823,"Свега за пројекат 1301-П21:",'ПО КОРИСНИЦИМА'!$H$16:$H$1823)</f>
        <v>0</v>
      </c>
      <c r="E493" s="248"/>
      <c r="F493" s="280"/>
      <c r="G493" s="249">
        <f>SUMIF('ПО КОРИСНИЦИМА'!$G$16:$G$1823,"Свега за пројекат 1301-П21:",'ПО КОРИСНИЦИМА'!$L$16:$L$1823)</f>
        <v>0</v>
      </c>
      <c r="H493" s="249"/>
      <c r="I493" s="287"/>
      <c r="J493" s="246">
        <f t="shared" si="17"/>
        <v>0</v>
      </c>
      <c r="K493" s="246"/>
      <c r="L493" s="279"/>
    </row>
    <row r="494" spans="1:12" hidden="1" x14ac:dyDescent="0.2">
      <c r="A494" s="182"/>
      <c r="B494" s="182" t="s">
        <v>4639</v>
      </c>
      <c r="C494" s="262" t="str">
        <f>IFERROR(VLOOKUP(B494,'ПО КОРИСНИЦИМА'!$C$16:$S$1823,5,FALSE),"")</f>
        <v/>
      </c>
      <c r="D494" s="248">
        <f>SUMIF('ПО КОРИСНИЦИМА'!$G$16:$G$1823,"Свега за пројекат 1301-П22:",'ПО КОРИСНИЦИМА'!$H$16:$H$1823)</f>
        <v>0</v>
      </c>
      <c r="E494" s="248"/>
      <c r="F494" s="280"/>
      <c r="G494" s="249">
        <f>SUMIF('ПО КОРИСНИЦИМА'!$G$16:$G$1823,"Свега за пројекат 1301-П22:",'ПО КОРИСНИЦИМА'!$L$16:$L$1823)</f>
        <v>0</v>
      </c>
      <c r="H494" s="249"/>
      <c r="I494" s="287"/>
      <c r="J494" s="246">
        <f t="shared" si="17"/>
        <v>0</v>
      </c>
      <c r="K494" s="246"/>
      <c r="L494" s="279"/>
    </row>
    <row r="495" spans="1:12" hidden="1" x14ac:dyDescent="0.2">
      <c r="A495" s="182"/>
      <c r="B495" s="182" t="s">
        <v>4640</v>
      </c>
      <c r="C495" s="262" t="str">
        <f>IFERROR(VLOOKUP(B495,'ПО КОРИСНИЦИМА'!$C$16:$S$1823,5,FALSE),"")</f>
        <v/>
      </c>
      <c r="D495" s="248">
        <f>SUMIF('ПО КОРИСНИЦИМА'!$G$16:$G$1823,"Свега за пројекат 1301-П23:",'ПО КОРИСНИЦИМА'!$H$16:$H$1823)</f>
        <v>0</v>
      </c>
      <c r="E495" s="248"/>
      <c r="F495" s="280"/>
      <c r="G495" s="249">
        <f>SUMIF('ПО КОРИСНИЦИМА'!$G$16:$G$1823,"Свега за пројекат 1301-П23:",'ПО КОРИСНИЦИМА'!$L$16:$L$1823)</f>
        <v>0</v>
      </c>
      <c r="H495" s="249"/>
      <c r="I495" s="287"/>
      <c r="J495" s="246">
        <f t="shared" si="17"/>
        <v>0</v>
      </c>
      <c r="K495" s="246"/>
      <c r="L495" s="279"/>
    </row>
    <row r="496" spans="1:12" hidden="1" x14ac:dyDescent="0.2">
      <c r="A496" s="182"/>
      <c r="B496" s="182" t="s">
        <v>4641</v>
      </c>
      <c r="C496" s="262" t="str">
        <f>IFERROR(VLOOKUP(B496,'ПО КОРИСНИЦИМА'!$C$16:$S$1823,5,FALSE),"")</f>
        <v/>
      </c>
      <c r="D496" s="248">
        <f>SUMIF('ПО КОРИСНИЦИМА'!$G$16:$G$1823,"Свега за пројекат 1301-П24:",'ПО КОРИСНИЦИМА'!$H$16:$H$1823)</f>
        <v>0</v>
      </c>
      <c r="E496" s="248"/>
      <c r="F496" s="280"/>
      <c r="G496" s="249">
        <f>SUMIF('ПО КОРИСНИЦИМА'!$G$16:$G$1823,"Свега за пројекат 1301-П24:",'ПО КОРИСНИЦИМА'!$L$16:$L$1823)</f>
        <v>0</v>
      </c>
      <c r="H496" s="249"/>
      <c r="I496" s="287"/>
      <c r="J496" s="246">
        <f t="shared" si="17"/>
        <v>0</v>
      </c>
      <c r="K496" s="246"/>
      <c r="L496" s="279"/>
    </row>
    <row r="497" spans="1:12" hidden="1" x14ac:dyDescent="0.2">
      <c r="A497" s="182"/>
      <c r="B497" s="182" t="s">
        <v>4642</v>
      </c>
      <c r="C497" s="262" t="str">
        <f>IFERROR(VLOOKUP(B497,'ПО КОРИСНИЦИМА'!$C$16:$S$1823,5,FALSE),"")</f>
        <v/>
      </c>
      <c r="D497" s="248">
        <f>SUMIF('ПО КОРИСНИЦИМА'!$G$16:$G$1823,"Свега за пројекат 1301-П25:",'ПО КОРИСНИЦИМА'!$H$16:$H$1823)</f>
        <v>0</v>
      </c>
      <c r="E497" s="248"/>
      <c r="F497" s="280"/>
      <c r="G497" s="249">
        <f>SUMIF('ПО КОРИСНИЦИМА'!$G$16:$G$1823,"Свега за пројекат 1301-П25:",'ПО КОРИСНИЦИМА'!$L$16:$L$1823)</f>
        <v>0</v>
      </c>
      <c r="H497" s="249"/>
      <c r="I497" s="287"/>
      <c r="J497" s="246">
        <f t="shared" si="17"/>
        <v>0</v>
      </c>
      <c r="K497" s="246"/>
      <c r="L497" s="279"/>
    </row>
    <row r="498" spans="1:12" hidden="1" x14ac:dyDescent="0.2">
      <c r="A498" s="182"/>
      <c r="B498" s="182" t="s">
        <v>4643</v>
      </c>
      <c r="C498" s="262" t="str">
        <f>IFERROR(VLOOKUP(B498,'ПО КОРИСНИЦИМА'!$C$16:$S$1823,5,FALSE),"")</f>
        <v/>
      </c>
      <c r="D498" s="248">
        <f>SUMIF('ПО КОРИСНИЦИМА'!$G$16:$G$1823,"Свега за пројекат 1301-П26:",'ПО КОРИСНИЦИМА'!$H$16:$H$1823)</f>
        <v>0</v>
      </c>
      <c r="E498" s="248"/>
      <c r="F498" s="280"/>
      <c r="G498" s="249">
        <f>SUMIF('ПО КОРИСНИЦИМА'!$G$16:$G$1823,"Свега за пројекат 1301-П26:",'ПО КОРИСНИЦИМА'!$L$16:$L$1823)</f>
        <v>0</v>
      </c>
      <c r="H498" s="249"/>
      <c r="I498" s="287"/>
      <c r="J498" s="246">
        <f t="shared" si="17"/>
        <v>0</v>
      </c>
      <c r="K498" s="246"/>
      <c r="L498" s="279"/>
    </row>
    <row r="499" spans="1:12" hidden="1" x14ac:dyDescent="0.2">
      <c r="A499" s="182"/>
      <c r="B499" s="182" t="s">
        <v>4644</v>
      </c>
      <c r="C499" s="262" t="str">
        <f>IFERROR(VLOOKUP(B499,'ПО КОРИСНИЦИМА'!$C$16:$S$1823,5,FALSE),"")</f>
        <v/>
      </c>
      <c r="D499" s="248">
        <f>SUMIF('ПО КОРИСНИЦИМА'!$G$16:$G$1823,"Свега за пројекат 1301-П27:",'ПО КОРИСНИЦИМА'!$H$16:$H$1823)</f>
        <v>0</v>
      </c>
      <c r="E499" s="248"/>
      <c r="F499" s="280"/>
      <c r="G499" s="249">
        <f>SUMIF('ПО КОРИСНИЦИМА'!$G$16:$G$1823,"Свега за пројекат 1301-П27:",'ПО КОРИСНИЦИМА'!$L$16:$L$1823)</f>
        <v>0</v>
      </c>
      <c r="H499" s="249"/>
      <c r="I499" s="287"/>
      <c r="J499" s="246">
        <f t="shared" si="17"/>
        <v>0</v>
      </c>
      <c r="K499" s="246"/>
      <c r="L499" s="279"/>
    </row>
    <row r="500" spans="1:12" hidden="1" x14ac:dyDescent="0.2">
      <c r="A500" s="182"/>
      <c r="B500" s="182" t="s">
        <v>4645</v>
      </c>
      <c r="C500" s="262" t="str">
        <f>IFERROR(VLOOKUP(B500,'ПО КОРИСНИЦИМА'!$C$16:$S$1823,5,FALSE),"")</f>
        <v/>
      </c>
      <c r="D500" s="248">
        <f>SUMIF('ПО КОРИСНИЦИМА'!$G$16:$G$1823,"Свега за пројекат 1301-П28:",'ПО КОРИСНИЦИМА'!$H$16:$H$1823)</f>
        <v>0</v>
      </c>
      <c r="E500" s="248"/>
      <c r="F500" s="280"/>
      <c r="G500" s="249">
        <f>SUMIF('ПО КОРИСНИЦИМА'!$G$16:$G$1823,"Свега за пројекат 1301-П28:",'ПО КОРИСНИЦИМА'!$L$16:$L$1823)</f>
        <v>0</v>
      </c>
      <c r="H500" s="249"/>
      <c r="I500" s="287"/>
      <c r="J500" s="246">
        <f t="shared" si="17"/>
        <v>0</v>
      </c>
      <c r="K500" s="246"/>
      <c r="L500" s="279"/>
    </row>
    <row r="501" spans="1:12" hidden="1" x14ac:dyDescent="0.2">
      <c r="A501" s="182"/>
      <c r="B501" s="182" t="s">
        <v>4646</v>
      </c>
      <c r="C501" s="262" t="str">
        <f>IFERROR(VLOOKUP(B501,'ПО КОРИСНИЦИМА'!$C$16:$S$1823,5,FALSE),"")</f>
        <v/>
      </c>
      <c r="D501" s="248">
        <f>SUMIF('ПО КОРИСНИЦИМА'!$G$16:$G$1823,"Свега за пројекат 1301-П29:",'ПО КОРИСНИЦИМА'!$H$16:$H$1823)</f>
        <v>0</v>
      </c>
      <c r="E501" s="248"/>
      <c r="F501" s="280"/>
      <c r="G501" s="249">
        <f>SUMIF('ПО КОРИСНИЦИМА'!$G$16:$G$1823,"Свега за пројекат 1301-П29:",'ПО КОРИСНИЦИМА'!$L$16:$L$1823)</f>
        <v>0</v>
      </c>
      <c r="H501" s="249"/>
      <c r="I501" s="287"/>
      <c r="J501" s="246">
        <f t="shared" si="17"/>
        <v>0</v>
      </c>
      <c r="K501" s="246"/>
      <c r="L501" s="279"/>
    </row>
    <row r="502" spans="1:12" hidden="1" x14ac:dyDescent="0.2">
      <c r="A502" s="182"/>
      <c r="B502" s="182" t="s">
        <v>4647</v>
      </c>
      <c r="C502" s="262" t="str">
        <f>IFERROR(VLOOKUP(B502,'ПО КОРИСНИЦИМА'!$C$16:$S$1823,5,FALSE),"")</f>
        <v/>
      </c>
      <c r="D502" s="248">
        <f>SUMIF('ПО КОРИСНИЦИМА'!$G$16:$G$1823,"Свега за пројекат 1301-П30:",'ПО КОРИСНИЦИМА'!$H$16:$H$1823)</f>
        <v>0</v>
      </c>
      <c r="E502" s="248"/>
      <c r="F502" s="280"/>
      <c r="G502" s="249">
        <f>SUMIF('ПО КОРИСНИЦИМА'!$G$16:$G$1823,"Свега за пројекат 1301-П30:",'ПО КОРИСНИЦИМА'!$L$16:$L$1823)</f>
        <v>0</v>
      </c>
      <c r="H502" s="249"/>
      <c r="I502" s="287"/>
      <c r="J502" s="246">
        <f t="shared" si="17"/>
        <v>0</v>
      </c>
      <c r="K502" s="246"/>
      <c r="L502" s="279"/>
    </row>
    <row r="503" spans="1:12" hidden="1" x14ac:dyDescent="0.2">
      <c r="A503" s="182"/>
      <c r="B503" s="182" t="s">
        <v>4648</v>
      </c>
      <c r="C503" s="262" t="str">
        <f>IFERROR(VLOOKUP(B503,'ПО КОРИСНИЦИМА'!$C$16:$S$1823,5,FALSE),"")</f>
        <v/>
      </c>
      <c r="D503" s="248">
        <f>SUMIF('ПО КОРИСНИЦИМА'!$G$16:$G$1823,"Свега за пројекат 1301-П31:",'ПО КОРИСНИЦИМА'!$H$16:$H$1823)</f>
        <v>0</v>
      </c>
      <c r="E503" s="248"/>
      <c r="F503" s="280"/>
      <c r="G503" s="249">
        <f>SUMIF('ПО КОРИСНИЦИМА'!$G$16:$G$1823,"Свега за пројекат 1301-П31:",'ПО КОРИСНИЦИМА'!$L$16:$L$1823)</f>
        <v>0</v>
      </c>
      <c r="H503" s="249"/>
      <c r="I503" s="287"/>
      <c r="J503" s="246">
        <f t="shared" si="17"/>
        <v>0</v>
      </c>
      <c r="K503" s="246"/>
      <c r="L503" s="279"/>
    </row>
    <row r="504" spans="1:12" hidden="1" x14ac:dyDescent="0.2">
      <c r="A504" s="182"/>
      <c r="B504" s="182" t="s">
        <v>4649</v>
      </c>
      <c r="C504" s="262" t="str">
        <f>IFERROR(VLOOKUP(B504,'ПО КОРИСНИЦИМА'!$C$16:$S$1823,5,FALSE),"")</f>
        <v/>
      </c>
      <c r="D504" s="248">
        <f>SUMIF('ПО КОРИСНИЦИМА'!$G$16:$G$1823,"Свега за пројекат 1301-П32:",'ПО КОРИСНИЦИМА'!$H$16:$H$1823)</f>
        <v>0</v>
      </c>
      <c r="E504" s="248"/>
      <c r="F504" s="280"/>
      <c r="G504" s="249">
        <f>SUMIF('ПО КОРИСНИЦИМА'!$G$16:$G$1823,"Свега за пројекат 1301-П32:",'ПО КОРИСНИЦИМА'!$L$16:$L$1823)</f>
        <v>0</v>
      </c>
      <c r="H504" s="249"/>
      <c r="I504" s="287"/>
      <c r="J504" s="246">
        <f t="shared" si="17"/>
        <v>0</v>
      </c>
      <c r="K504" s="246"/>
      <c r="L504" s="279"/>
    </row>
    <row r="505" spans="1:12" hidden="1" x14ac:dyDescent="0.2">
      <c r="A505" s="182"/>
      <c r="B505" s="182" t="s">
        <v>4650</v>
      </c>
      <c r="C505" s="262" t="str">
        <f>IFERROR(VLOOKUP(B505,'ПО КОРИСНИЦИМА'!$C$16:$S$1823,5,FALSE),"")</f>
        <v/>
      </c>
      <c r="D505" s="248">
        <f>SUMIF('ПО КОРИСНИЦИМА'!$G$16:$G$1823,"Свега за пројекат 1301-П33:",'ПО КОРИСНИЦИМА'!$H$16:$H$1823)</f>
        <v>0</v>
      </c>
      <c r="E505" s="248"/>
      <c r="F505" s="280"/>
      <c r="G505" s="249">
        <f>SUMIF('ПО КОРИСНИЦИМА'!$G$16:$G$1823,"Свега за пројекат 1301-П33:",'ПО КОРИСНИЦИМА'!$L$16:$L$1823)</f>
        <v>0</v>
      </c>
      <c r="H505" s="249"/>
      <c r="I505" s="287"/>
      <c r="J505" s="246">
        <f t="shared" si="17"/>
        <v>0</v>
      </c>
      <c r="K505" s="246"/>
      <c r="L505" s="279"/>
    </row>
    <row r="506" spans="1:12" hidden="1" x14ac:dyDescent="0.2">
      <c r="A506" s="182"/>
      <c r="B506" s="182" t="s">
        <v>4651</v>
      </c>
      <c r="C506" s="262" t="str">
        <f>IFERROR(VLOOKUP(B506,'ПО КОРИСНИЦИМА'!$C$16:$S$1823,5,FALSE),"")</f>
        <v/>
      </c>
      <c r="D506" s="248">
        <f>SUMIF('ПО КОРИСНИЦИМА'!$G$16:$G$1823,"Свега за пројекат 1301-П34:",'ПО КОРИСНИЦИМА'!$H$16:$H$1823)</f>
        <v>0</v>
      </c>
      <c r="E506" s="248"/>
      <c r="F506" s="280"/>
      <c r="G506" s="249">
        <f>SUMIF('ПО КОРИСНИЦИМА'!$G$16:$G$1823,"Свега за пројекат 1301-П34:",'ПО КОРИСНИЦИМА'!$L$16:$L$1823)</f>
        <v>0</v>
      </c>
      <c r="H506" s="249"/>
      <c r="I506" s="287"/>
      <c r="J506" s="246">
        <f t="shared" si="17"/>
        <v>0</v>
      </c>
      <c r="K506" s="246"/>
      <c r="L506" s="279"/>
    </row>
    <row r="507" spans="1:12" hidden="1" x14ac:dyDescent="0.2">
      <c r="A507" s="182"/>
      <c r="B507" s="182" t="s">
        <v>4652</v>
      </c>
      <c r="C507" s="262" t="str">
        <f>IFERROR(VLOOKUP(B507,'ПО КОРИСНИЦИМА'!$C$16:$S$1823,5,FALSE),"")</f>
        <v/>
      </c>
      <c r="D507" s="248">
        <f>SUMIF('ПО КОРИСНИЦИМА'!$G$16:$G$1823,"Свега за пројекат 1301-П35:",'ПО КОРИСНИЦИМА'!$H$16:$H$1823)</f>
        <v>0</v>
      </c>
      <c r="E507" s="248"/>
      <c r="F507" s="280"/>
      <c r="G507" s="249">
        <f>SUMIF('ПО КОРИСНИЦИМА'!$G$16:$G$1823,"Свега за пројекат 1301-П35:",'ПО КОРИСНИЦИМА'!$L$16:$L$1823)</f>
        <v>0</v>
      </c>
      <c r="H507" s="249"/>
      <c r="I507" s="287"/>
      <c r="J507" s="246">
        <f t="shared" si="17"/>
        <v>0</v>
      </c>
      <c r="K507" s="246"/>
      <c r="L507" s="279"/>
    </row>
    <row r="508" spans="1:12" hidden="1" x14ac:dyDescent="0.2">
      <c r="A508" s="182"/>
      <c r="B508" s="182" t="s">
        <v>4653</v>
      </c>
      <c r="C508" s="262" t="str">
        <f>IFERROR(VLOOKUP(B508,'ПО КОРИСНИЦИМА'!$C$16:$S$1823,5,FALSE),"")</f>
        <v/>
      </c>
      <c r="D508" s="248">
        <f>SUMIF('ПО КОРИСНИЦИМА'!$G$16:$G$1823,"Свега за пројекат 1301-П36:",'ПО КОРИСНИЦИМА'!$H$16:$H$1823)</f>
        <v>0</v>
      </c>
      <c r="E508" s="248"/>
      <c r="F508" s="280"/>
      <c r="G508" s="249">
        <f>SUMIF('ПО КОРИСНИЦИМА'!$G$16:$G$1823,"Свега за пројекат 1301-П36:",'ПО КОРИСНИЦИМА'!$L$16:$L$1823)</f>
        <v>0</v>
      </c>
      <c r="H508" s="249"/>
      <c r="I508" s="287"/>
      <c r="J508" s="246">
        <f t="shared" si="17"/>
        <v>0</v>
      </c>
      <c r="K508" s="246"/>
      <c r="L508" s="279"/>
    </row>
    <row r="509" spans="1:12" hidden="1" x14ac:dyDescent="0.2">
      <c r="A509" s="182"/>
      <c r="B509" s="182" t="s">
        <v>4654</v>
      </c>
      <c r="C509" s="262" t="str">
        <f>IFERROR(VLOOKUP(B509,'ПО КОРИСНИЦИМА'!$C$16:$S$1823,5,FALSE),"")</f>
        <v/>
      </c>
      <c r="D509" s="248">
        <f>SUMIF('ПО КОРИСНИЦИМА'!$G$16:$G$1823,"Свега за пројекат 1301-П37:",'ПО КОРИСНИЦИМА'!$H$16:$H$1823)</f>
        <v>0</v>
      </c>
      <c r="E509" s="248"/>
      <c r="F509" s="280"/>
      <c r="G509" s="249">
        <f>SUMIF('ПО КОРИСНИЦИМА'!$G$16:$G$1823,"Свега за пројекат 1301-П37:",'ПО КОРИСНИЦИМА'!$L$16:$L$1823)</f>
        <v>0</v>
      </c>
      <c r="H509" s="249"/>
      <c r="I509" s="287"/>
      <c r="J509" s="246">
        <f t="shared" si="17"/>
        <v>0</v>
      </c>
      <c r="K509" s="246"/>
      <c r="L509" s="279"/>
    </row>
    <row r="510" spans="1:12" hidden="1" x14ac:dyDescent="0.2">
      <c r="A510" s="182"/>
      <c r="B510" s="182" t="s">
        <v>4655</v>
      </c>
      <c r="C510" s="262" t="str">
        <f>IFERROR(VLOOKUP(B510,'ПО КОРИСНИЦИМА'!$C$16:$S$1823,5,FALSE),"")</f>
        <v/>
      </c>
      <c r="D510" s="248">
        <f>SUMIF('ПО КОРИСНИЦИМА'!$G$16:$G$1823,"Свега за пројекат 1301-П38:",'ПО КОРИСНИЦИМА'!$H$16:$H$1823)</f>
        <v>0</v>
      </c>
      <c r="E510" s="248"/>
      <c r="F510" s="280"/>
      <c r="G510" s="249">
        <f>SUMIF('ПО КОРИСНИЦИМА'!$G$16:$G$1823,"Свега за пројекат 1301-П38:",'ПО КОРИСНИЦИМА'!$L$16:$L$1823)</f>
        <v>0</v>
      </c>
      <c r="H510" s="249"/>
      <c r="I510" s="287"/>
      <c r="J510" s="246">
        <f t="shared" si="17"/>
        <v>0</v>
      </c>
      <c r="K510" s="246"/>
      <c r="L510" s="279"/>
    </row>
    <row r="511" spans="1:12" hidden="1" x14ac:dyDescent="0.2">
      <c r="A511" s="182"/>
      <c r="B511" s="182" t="s">
        <v>4656</v>
      </c>
      <c r="C511" s="262" t="str">
        <f>IFERROR(VLOOKUP(B511,'ПО КОРИСНИЦИМА'!$C$16:$S$1823,5,FALSE),"")</f>
        <v/>
      </c>
      <c r="D511" s="248">
        <f>SUMIF('ПО КОРИСНИЦИМА'!$G$16:$G$1823,"Свега за пројекат 1301-П39:",'ПО КОРИСНИЦИМА'!$H$16:$H$1823)</f>
        <v>0</v>
      </c>
      <c r="E511" s="248"/>
      <c r="F511" s="280"/>
      <c r="G511" s="249">
        <f>SUMIF('ПО КОРИСНИЦИМА'!$G$16:$G$1823,"Свега за пројекат 1301-П39:",'ПО КОРИСНИЦИМА'!$L$16:$L$1823)</f>
        <v>0</v>
      </c>
      <c r="H511" s="249"/>
      <c r="I511" s="287"/>
      <c r="J511" s="246">
        <f t="shared" si="17"/>
        <v>0</v>
      </c>
      <c r="K511" s="246"/>
      <c r="L511" s="279"/>
    </row>
    <row r="512" spans="1:12" hidden="1" x14ac:dyDescent="0.2">
      <c r="A512" s="182"/>
      <c r="B512" s="182" t="s">
        <v>4657</v>
      </c>
      <c r="C512" s="262" t="str">
        <f>IFERROR(VLOOKUP(B512,'ПО КОРИСНИЦИМА'!$C$16:$S$1823,5,FALSE),"")</f>
        <v/>
      </c>
      <c r="D512" s="248">
        <f>SUMIF('ПО КОРИСНИЦИМА'!$G$16:$G$1823,"Свега за пројекат 1301-П40:",'ПО КОРИСНИЦИМА'!$H$16:$H$1823)</f>
        <v>0</v>
      </c>
      <c r="E512" s="248"/>
      <c r="F512" s="280"/>
      <c r="G512" s="249">
        <f>SUMIF('ПО КОРИСНИЦИМА'!$G$16:$G$1823,"Свега за пројекат 1301-П40:",'ПО КОРИСНИЦИМА'!$L$16:$L$1823)</f>
        <v>0</v>
      </c>
      <c r="H512" s="249"/>
      <c r="I512" s="287"/>
      <c r="J512" s="246">
        <f t="shared" ref="J512:J575" si="18">D512+G512</f>
        <v>0</v>
      </c>
      <c r="K512" s="246"/>
      <c r="L512" s="279"/>
    </row>
    <row r="513" spans="1:12" hidden="1" x14ac:dyDescent="0.2">
      <c r="A513" s="182"/>
      <c r="B513" s="182" t="s">
        <v>4658</v>
      </c>
      <c r="C513" s="262" t="str">
        <f>IFERROR(VLOOKUP(B513,'ПО КОРИСНИЦИМА'!$C$16:$S$1823,5,FALSE),"")</f>
        <v/>
      </c>
      <c r="D513" s="248">
        <f>SUMIF('ПО КОРИСНИЦИМА'!$G$16:$G$1823,"Свега за пројекат 1301-П41:",'ПО КОРИСНИЦИМА'!$H$16:$H$1823)</f>
        <v>0</v>
      </c>
      <c r="E513" s="248"/>
      <c r="F513" s="280"/>
      <c r="G513" s="249">
        <f>SUMIF('ПО КОРИСНИЦИМА'!$G$16:$G$1823,"Свега за пројекат 1301-П41:",'ПО КОРИСНИЦИМА'!$L$16:$L$1823)</f>
        <v>0</v>
      </c>
      <c r="H513" s="249"/>
      <c r="I513" s="287"/>
      <c r="J513" s="246">
        <f t="shared" si="18"/>
        <v>0</v>
      </c>
      <c r="K513" s="246"/>
      <c r="L513" s="279"/>
    </row>
    <row r="514" spans="1:12" hidden="1" x14ac:dyDescent="0.2">
      <c r="A514" s="182"/>
      <c r="B514" s="182" t="s">
        <v>4659</v>
      </c>
      <c r="C514" s="262" t="str">
        <f>IFERROR(VLOOKUP(B514,'ПО КОРИСНИЦИМА'!$C$16:$S$1823,5,FALSE),"")</f>
        <v/>
      </c>
      <c r="D514" s="248">
        <f>SUMIF('ПО КОРИСНИЦИМА'!$G$16:$G$1823,"Свега за пројекат 1301-П42:",'ПО КОРИСНИЦИМА'!$H$16:$H$1823)</f>
        <v>0</v>
      </c>
      <c r="E514" s="248"/>
      <c r="F514" s="280"/>
      <c r="G514" s="249">
        <f>SUMIF('ПО КОРИСНИЦИМА'!$G$16:$G$1823,"Свега за пројекат 1301-П42:",'ПО КОРИСНИЦИМА'!$L$16:$L$1823)</f>
        <v>0</v>
      </c>
      <c r="H514" s="249"/>
      <c r="I514" s="287"/>
      <c r="J514" s="246">
        <f t="shared" si="18"/>
        <v>0</v>
      </c>
      <c r="K514" s="246"/>
      <c r="L514" s="279"/>
    </row>
    <row r="515" spans="1:12" hidden="1" x14ac:dyDescent="0.2">
      <c r="A515" s="182"/>
      <c r="B515" s="182" t="s">
        <v>4660</v>
      </c>
      <c r="C515" s="262" t="str">
        <f>IFERROR(VLOOKUP(B515,'ПО КОРИСНИЦИМА'!$C$16:$S$1823,5,FALSE),"")</f>
        <v/>
      </c>
      <c r="D515" s="248">
        <f>SUMIF('ПО КОРИСНИЦИМА'!$G$16:$G$1823,"Свега за пројекат 1301-П43:",'ПО КОРИСНИЦИМА'!$H$16:$H$1823)</f>
        <v>0</v>
      </c>
      <c r="E515" s="248"/>
      <c r="F515" s="280"/>
      <c r="G515" s="249">
        <f>SUMIF('ПО КОРИСНИЦИМА'!$G$16:$G$1823,"Свега за пројекат 1301-П43:",'ПО КОРИСНИЦИМА'!$L$16:$L$1823)</f>
        <v>0</v>
      </c>
      <c r="H515" s="249"/>
      <c r="I515" s="287"/>
      <c r="J515" s="246">
        <f t="shared" si="18"/>
        <v>0</v>
      </c>
      <c r="K515" s="246"/>
      <c r="L515" s="279"/>
    </row>
    <row r="516" spans="1:12" hidden="1" x14ac:dyDescent="0.2">
      <c r="A516" s="182"/>
      <c r="B516" s="182" t="s">
        <v>4661</v>
      </c>
      <c r="C516" s="262" t="str">
        <f>IFERROR(VLOOKUP(B516,'ПО КОРИСНИЦИМА'!$C$16:$S$1823,5,FALSE),"")</f>
        <v/>
      </c>
      <c r="D516" s="248">
        <f>SUMIF('ПО КОРИСНИЦИМА'!$G$16:$G$1823,"Свега за пројекат 1301-П44:",'ПО КОРИСНИЦИМА'!$H$16:$H$1823)</f>
        <v>0</v>
      </c>
      <c r="E516" s="248"/>
      <c r="F516" s="280"/>
      <c r="G516" s="249">
        <f>SUMIF('ПО КОРИСНИЦИМА'!$G$16:$G$1823,"Свега за пројекат 1301-П44:",'ПО КОРИСНИЦИМА'!$L$16:$L$1823)</f>
        <v>0</v>
      </c>
      <c r="H516" s="249"/>
      <c r="I516" s="287"/>
      <c r="J516" s="246">
        <f t="shared" si="18"/>
        <v>0</v>
      </c>
      <c r="K516" s="246"/>
      <c r="L516" s="279"/>
    </row>
    <row r="517" spans="1:12" hidden="1" x14ac:dyDescent="0.2">
      <c r="A517" s="182"/>
      <c r="B517" s="182" t="s">
        <v>4662</v>
      </c>
      <c r="C517" s="262" t="str">
        <f>IFERROR(VLOOKUP(B517,'ПО КОРИСНИЦИМА'!$C$16:$S$1823,5,FALSE),"")</f>
        <v/>
      </c>
      <c r="D517" s="248">
        <f>SUMIF('ПО КОРИСНИЦИМА'!$G$16:$G$1823,"Свега за пројекат 1301-П45:",'ПО КОРИСНИЦИМА'!$H$16:$H$1823)</f>
        <v>0</v>
      </c>
      <c r="E517" s="248"/>
      <c r="F517" s="280"/>
      <c r="G517" s="249">
        <f>SUMIF('ПО КОРИСНИЦИМА'!$G$16:$G$1823,"Свега за пројекат 1301-П45:",'ПО КОРИСНИЦИМА'!$L$16:$L$1823)</f>
        <v>0</v>
      </c>
      <c r="H517" s="249"/>
      <c r="I517" s="287"/>
      <c r="J517" s="246">
        <f t="shared" si="18"/>
        <v>0</v>
      </c>
      <c r="K517" s="246"/>
      <c r="L517" s="279"/>
    </row>
    <row r="518" spans="1:12" hidden="1" x14ac:dyDescent="0.2">
      <c r="A518" s="182"/>
      <c r="B518" s="182" t="s">
        <v>4663</v>
      </c>
      <c r="C518" s="262" t="str">
        <f>IFERROR(VLOOKUP(B518,'ПО КОРИСНИЦИМА'!$C$16:$S$1823,5,FALSE),"")</f>
        <v/>
      </c>
      <c r="D518" s="248">
        <f>SUMIF('ПО КОРИСНИЦИМА'!$G$16:$G$1823,"Свега за пројекат 1301-П46:",'ПО КОРИСНИЦИМА'!$H$16:$H$1823)</f>
        <v>0</v>
      </c>
      <c r="E518" s="248"/>
      <c r="F518" s="280"/>
      <c r="G518" s="249">
        <f>SUMIF('ПО КОРИСНИЦИМА'!$G$16:$G$1823,"Свега за пројекат 1301-П46:",'ПО КОРИСНИЦИМА'!$L$16:$L$1823)</f>
        <v>0</v>
      </c>
      <c r="H518" s="249"/>
      <c r="I518" s="287"/>
      <c r="J518" s="246">
        <f t="shared" si="18"/>
        <v>0</v>
      </c>
      <c r="K518" s="246"/>
      <c r="L518" s="279"/>
    </row>
    <row r="519" spans="1:12" hidden="1" x14ac:dyDescent="0.2">
      <c r="A519" s="182"/>
      <c r="B519" s="182" t="s">
        <v>4664</v>
      </c>
      <c r="C519" s="262" t="str">
        <f>IFERROR(VLOOKUP(B519,'ПО КОРИСНИЦИМА'!$C$16:$S$1823,5,FALSE),"")</f>
        <v/>
      </c>
      <c r="D519" s="248">
        <f>SUMIF('ПО КОРИСНИЦИМА'!$G$16:$G$1823,"Свега за пројекат 1301-П47:",'ПО КОРИСНИЦИМА'!$H$16:$H$1823)</f>
        <v>0</v>
      </c>
      <c r="E519" s="248"/>
      <c r="F519" s="280"/>
      <c r="G519" s="249">
        <f>SUMIF('ПО КОРИСНИЦИМА'!$G$16:$G$1823,"Свега за пројекат 1301-П47:",'ПО КОРИСНИЦИМА'!$L$16:$L$1823)</f>
        <v>0</v>
      </c>
      <c r="H519" s="249"/>
      <c r="I519" s="287"/>
      <c r="J519" s="246">
        <f t="shared" si="18"/>
        <v>0</v>
      </c>
      <c r="K519" s="246"/>
      <c r="L519" s="279"/>
    </row>
    <row r="520" spans="1:12" hidden="1" x14ac:dyDescent="0.2">
      <c r="A520" s="182"/>
      <c r="B520" s="182" t="s">
        <v>4665</v>
      </c>
      <c r="C520" s="262" t="str">
        <f>IFERROR(VLOOKUP(B520,'ПО КОРИСНИЦИМА'!$C$16:$S$1823,5,FALSE),"")</f>
        <v/>
      </c>
      <c r="D520" s="248">
        <f>SUMIF('ПО КОРИСНИЦИМА'!$G$16:$G$1823,"Свега за пројекат 1301-П48:",'ПО КОРИСНИЦИМА'!$H$16:$H$1823)</f>
        <v>0</v>
      </c>
      <c r="E520" s="248"/>
      <c r="F520" s="280"/>
      <c r="G520" s="249">
        <f>SUMIF('ПО КОРИСНИЦИМА'!$G$16:$G$1823,"Свега за пројекат 1301-П48:",'ПО КОРИСНИЦИМА'!$L$16:$L$1823)</f>
        <v>0</v>
      </c>
      <c r="H520" s="249"/>
      <c r="I520" s="287"/>
      <c r="J520" s="246">
        <f t="shared" si="18"/>
        <v>0</v>
      </c>
      <c r="K520" s="246"/>
      <c r="L520" s="279"/>
    </row>
    <row r="521" spans="1:12" hidden="1" x14ac:dyDescent="0.2">
      <c r="A521" s="182"/>
      <c r="B521" s="182" t="s">
        <v>4666</v>
      </c>
      <c r="C521" s="262" t="str">
        <f>IFERROR(VLOOKUP(B521,'ПО КОРИСНИЦИМА'!$C$16:$S$1823,5,FALSE),"")</f>
        <v/>
      </c>
      <c r="D521" s="248">
        <f>SUMIF('ПО КОРИСНИЦИМА'!$G$16:$G$1823,"Свега за пројекат 1301-П49:",'ПО КОРИСНИЦИМА'!$H$16:$H$1823)</f>
        <v>0</v>
      </c>
      <c r="E521" s="248"/>
      <c r="F521" s="280"/>
      <c r="G521" s="249">
        <f>SUMIF('ПО КОРИСНИЦИМА'!$G$16:$G$1823,"Свега за пројекат 1301-П49:",'ПО КОРИСНИЦИМА'!$L$16:$L$1823)</f>
        <v>0</v>
      </c>
      <c r="H521" s="249"/>
      <c r="I521" s="287"/>
      <c r="J521" s="246">
        <f t="shared" si="18"/>
        <v>0</v>
      </c>
      <c r="K521" s="246"/>
      <c r="L521" s="279"/>
    </row>
    <row r="522" spans="1:12" hidden="1" x14ac:dyDescent="0.2">
      <c r="A522" s="183"/>
      <c r="B522" s="182" t="s">
        <v>4667</v>
      </c>
      <c r="C522" s="262" t="str">
        <f>IFERROR(VLOOKUP(B522,'ПО КОРИСНИЦИМА'!$C$16:$S$1823,5,FALSE),"")</f>
        <v/>
      </c>
      <c r="D522" s="248">
        <f>SUMIF('ПО КОРИСНИЦИМА'!$G$16:$G$1823,"Свега за пројекат 1301-П50:",'ПО КОРИСНИЦИМА'!$H$16:$H$1823)</f>
        <v>0</v>
      </c>
      <c r="E522" s="248"/>
      <c r="F522" s="280"/>
      <c r="G522" s="249">
        <f>SUMIF('ПО КОРИСНИЦИМА'!$G$16:$G$1823,"Свега за пројекат 1301-П50:",'ПО КОРИСНИЦИМА'!$L$16:$L$1823)</f>
        <v>0</v>
      </c>
      <c r="H522" s="249"/>
      <c r="I522" s="287"/>
      <c r="J522" s="246">
        <f t="shared" si="18"/>
        <v>0</v>
      </c>
      <c r="K522" s="272"/>
      <c r="L522" s="294"/>
    </row>
    <row r="523" spans="1:12" s="180" customFormat="1" x14ac:dyDescent="0.2">
      <c r="A523" s="173" t="s">
        <v>3603</v>
      </c>
      <c r="B523" s="174"/>
      <c r="C523" s="260" t="s">
        <v>3681</v>
      </c>
      <c r="D523" s="242">
        <f>SUM(D524:D603)</f>
        <v>119306471</v>
      </c>
      <c r="E523" s="242">
        <f>SUM(E524:E603)</f>
        <v>106975100.98</v>
      </c>
      <c r="F523" s="282">
        <f t="shared" ref="F523:F537" si="19">E523/D523</f>
        <v>0.89664123063366785</v>
      </c>
      <c r="G523" s="243">
        <f>SUM(G524:G603)</f>
        <v>1638427</v>
      </c>
      <c r="H523" s="243">
        <f>SUM(H524:H603)</f>
        <v>0</v>
      </c>
      <c r="I523" s="289">
        <f>H523/G523</f>
        <v>0</v>
      </c>
      <c r="J523" s="242">
        <f t="shared" si="18"/>
        <v>120944898</v>
      </c>
      <c r="K523" s="242">
        <f t="shared" ref="K523:K538" si="20">E523+H523</f>
        <v>106975100.98</v>
      </c>
      <c r="L523" s="282">
        <f t="shared" ref="L523:L538" si="21">K523/J523</f>
        <v>0.88449453221251217</v>
      </c>
    </row>
    <row r="524" spans="1:12" ht="25.5" x14ac:dyDescent="0.2">
      <c r="A524" s="176"/>
      <c r="B524" s="155" t="s">
        <v>4084</v>
      </c>
      <c r="C524" s="264" t="s">
        <v>4085</v>
      </c>
      <c r="D524" s="244">
        <f>SUMIF('ПО КОРИСНИЦИМА'!$G$16:$G$1823,"Свега за програмску активност 0602-0001:",'ПО КОРИСНИЦИМА'!$H$16:$H$1823)</f>
        <v>111328522</v>
      </c>
      <c r="E524" s="244">
        <f>SUMIF('ПО КОРИСНИЦИМА'!$G$16:$G$1823,"Свега за програмску активност 0602-0001:",'ПО КОРИСНИЦИМА'!$I$16:$I$1823)</f>
        <v>100879816.38000001</v>
      </c>
      <c r="F524" s="278">
        <f t="shared" si="19"/>
        <v>0.90614529473408445</v>
      </c>
      <c r="G524" s="245">
        <f>SUMIF('ПО КОРИСНИЦИМА'!$G$16:$G$1823,"Свега за програмску активност 0602-0001:",'ПО КОРИСНИЦИМА'!$L$16:$L$1823)</f>
        <v>28427</v>
      </c>
      <c r="H524" s="245">
        <f>SUMIF('ПО КОРИСНИЦИМА'!$G$16:$G$1823,"Свега за програмску активност 0602-0001:",'ПО КОРИСНИЦИМА'!$M$16:$M$1823)</f>
        <v>0</v>
      </c>
      <c r="I524" s="285"/>
      <c r="J524" s="255">
        <f t="shared" si="18"/>
        <v>111356949</v>
      </c>
      <c r="K524" s="255">
        <f t="shared" si="20"/>
        <v>100879816.38000001</v>
      </c>
      <c r="L524" s="297">
        <f t="shared" si="21"/>
        <v>0.90591397560649767</v>
      </c>
    </row>
    <row r="525" spans="1:12" x14ac:dyDescent="0.2">
      <c r="A525" s="178"/>
      <c r="B525" s="86" t="s">
        <v>4086</v>
      </c>
      <c r="C525" s="265" t="s">
        <v>3664</v>
      </c>
      <c r="D525" s="246">
        <f>SUMIF('ПО КОРИСНИЦИМА'!$G$16:$G$1823,"Свега за програмску активност 0602-0002:",'ПО КОРИСНИЦИМА'!$H$16:$H$1823)</f>
        <v>1998850</v>
      </c>
      <c r="E525" s="246">
        <f>SUMIF('ПО КОРИСНИЦИМА'!$G$16:$G$1823,"Свега за програмску активност 0602-0002:",'ПО КОРИСНИЦИМА'!$I$16:$I$1823)</f>
        <v>5726502.0199999996</v>
      </c>
      <c r="F525" s="279">
        <f t="shared" si="19"/>
        <v>2.8648983265377588</v>
      </c>
      <c r="G525" s="247">
        <f>SUMIF('ПО КОРИСНИЦИМА'!$G$16:$G$1823,"Свега за програмску активност 0602-0002:",'ПО КОРИСНИЦИМА'!$L$16:$L$1823)</f>
        <v>0</v>
      </c>
      <c r="H525" s="247">
        <f>SUMIF('ПО КОРИСНИЦИМА'!$G$16:$G$1823,"Свега за програмску активност 0602-0002:",'ПО КОРИСНИЦИМА'!$M$16:$M$1823)</f>
        <v>0</v>
      </c>
      <c r="I525" s="286"/>
      <c r="J525" s="192">
        <f t="shared" si="18"/>
        <v>1998850</v>
      </c>
      <c r="K525" s="192">
        <f t="shared" si="20"/>
        <v>5726502.0199999996</v>
      </c>
      <c r="L525" s="298">
        <f t="shared" si="21"/>
        <v>2.8648983265377588</v>
      </c>
    </row>
    <row r="526" spans="1:12" x14ac:dyDescent="0.2">
      <c r="A526" s="178"/>
      <c r="B526" s="86" t="s">
        <v>4087</v>
      </c>
      <c r="C526" s="265" t="s">
        <v>5104</v>
      </c>
      <c r="D526" s="246">
        <f>SUMIF('ПО КОРИСНИЦИМА'!$G$16:$G$1823,"Свега за програмску активност 0602-0003:",'ПО КОРИСНИЦИМА'!$H$16:$H$1823)</f>
        <v>4690000</v>
      </c>
      <c r="E526" s="246">
        <f>SUMIF('ПО КОРИСНИЦИМА'!$G$16:$G$1823,"Свега за програмску активност 0602-0003:",'ПО КОРИСНИЦИМА'!$I$16:$I$1823)</f>
        <v>368782.57999999996</v>
      </c>
      <c r="F526" s="279">
        <f t="shared" si="19"/>
        <v>7.8631680170575688E-2</v>
      </c>
      <c r="G526" s="247">
        <f>SUMIF('ПО КОРИСНИЦИМА'!$G$16:$G$1823,"Свега за програмску активност 0602-0003:",'ПО КОРИСНИЦИМА'!$L$16:$L$1823)</f>
        <v>0</v>
      </c>
      <c r="H526" s="247">
        <f>SUMIF('ПО КОРИСНИЦИМА'!$G$16:$G$1823,"Свега за програмску активност 0602-0003:",'ПО КОРИСНИЦИМА'!$M$16:$M$1823)</f>
        <v>0</v>
      </c>
      <c r="I526" s="286"/>
      <c r="J526" s="192">
        <f t="shared" si="18"/>
        <v>4690000</v>
      </c>
      <c r="K526" s="192">
        <f t="shared" si="20"/>
        <v>368782.57999999996</v>
      </c>
      <c r="L526" s="298">
        <f t="shared" si="21"/>
        <v>7.8631680170575688E-2</v>
      </c>
    </row>
    <row r="527" spans="1:12" hidden="1" x14ac:dyDescent="0.2">
      <c r="A527" s="178"/>
      <c r="B527" s="86" t="s">
        <v>4088</v>
      </c>
      <c r="C527" s="265" t="s">
        <v>4089</v>
      </c>
      <c r="D527" s="246">
        <f>SUMIF('ПО КОРИСНИЦИМА'!$G$16:$G$1823,"Свега за програмску активност 0602-0004:",'ПО КОРИСНИЦИМА'!$H$16:$H$1823)</f>
        <v>0</v>
      </c>
      <c r="E527" s="246">
        <f>SUMIF('ПО КОРИСНИЦИМА'!$G$16:$G$1823,"Свега за програмску активност 0602-0004:",'ПО КОРИСНИЦИМА'!$I$16:$I$1823)</f>
        <v>0</v>
      </c>
      <c r="F527" s="279"/>
      <c r="G527" s="247">
        <f>SUMIF('ПО КОРИСНИЦИМА'!$G$16:$G$1823,"Свега за програмску активност 0602-0004:",'ПО КОРИСНИЦИМА'!$L$16:$L$1823)</f>
        <v>0</v>
      </c>
      <c r="H527" s="247">
        <f>SUMIF('ПО КОРИСНИЦИМА'!$G$16:$G$1823,"Свега за програмску активност 0602-0004:",'ПО КОРИСНИЦИМА'!$M$16:$M$1823)</f>
        <v>0</v>
      </c>
      <c r="I527" s="286"/>
      <c r="J527" s="192">
        <f t="shared" si="18"/>
        <v>0</v>
      </c>
      <c r="K527" s="192">
        <f t="shared" si="20"/>
        <v>0</v>
      </c>
      <c r="L527" s="298"/>
    </row>
    <row r="528" spans="1:12" hidden="1" x14ac:dyDescent="0.2">
      <c r="A528" s="178"/>
      <c r="B528" s="86" t="s">
        <v>4090</v>
      </c>
      <c r="C528" s="265" t="s">
        <v>3666</v>
      </c>
      <c r="D528" s="246">
        <f>SUMIF('ПО КОРИСНИЦИМА'!$G$16:$G$1823,"Свега за програмску активност 0602-0005:",'ПО КОРИСНИЦИМА'!$H$16:$H$1823)</f>
        <v>0</v>
      </c>
      <c r="E528" s="246">
        <f>SUMIF('ПО КОРИСНИЦИМА'!$G$16:$G$1823,"Свега за програмску активност 0602-0005:",'ПО КОРИСНИЦИМА'!$I$16:$I$1823)</f>
        <v>0</v>
      </c>
      <c r="F528" s="279"/>
      <c r="G528" s="247">
        <f>SUMIF('ПО КОРИСНИЦИМА'!$G$16:$G$1823,"Свега за програмску активност 0602-0005:",'ПО КОРИСНИЦИМА'!$L$16:$L$1823)</f>
        <v>0</v>
      </c>
      <c r="H528" s="247">
        <f>SUMIF('ПО КОРИСНИЦИМА'!$G$16:$G$1823,"Свега за програмску активност 0602-0005:",'ПО КОРИСНИЦИМА'!$M$16:$M$1823)</f>
        <v>0</v>
      </c>
      <c r="I528" s="286"/>
      <c r="J528" s="192">
        <f t="shared" si="18"/>
        <v>0</v>
      </c>
      <c r="K528" s="192">
        <f t="shared" si="20"/>
        <v>0</v>
      </c>
      <c r="L528" s="298"/>
    </row>
    <row r="529" spans="1:12" hidden="1" x14ac:dyDescent="0.2">
      <c r="A529" s="178"/>
      <c r="B529" s="86" t="s">
        <v>4091</v>
      </c>
      <c r="C529" s="265" t="s">
        <v>4092</v>
      </c>
      <c r="D529" s="246">
        <f>SUMIF('ПО КОРИСНИЦИМА'!$G$16:$G$1823,"Свега за програмску активност 0602-0006:",'ПО КОРИСНИЦИМА'!$H$16:$H$1823)</f>
        <v>0</v>
      </c>
      <c r="E529" s="246">
        <f>SUMIF('ПО КОРИСНИЦИМА'!$G$16:$G$1823,"Свега за програмску активност 0602-0006:",'ПО КОРИСНИЦИМА'!$I$16:$I$1823)</f>
        <v>0</v>
      </c>
      <c r="F529" s="279" t="e">
        <f t="shared" si="19"/>
        <v>#DIV/0!</v>
      </c>
      <c r="G529" s="247">
        <f>SUMIF('ПО КОРИСНИЦИМА'!$G$16:$G$1823,"Свега за програмску активност 0602-0006:",'ПО КОРИСНИЦИМА'!$L$16:$L$1823)</f>
        <v>0</v>
      </c>
      <c r="H529" s="247">
        <f>SUMIF('ПО КОРИСНИЦИМА'!$G$16:$G$1823,"Свега за програмску активност 0602-0006:",'ПО КОРИСНИЦИМА'!$M$16:$M$1823)</f>
        <v>0</v>
      </c>
      <c r="I529" s="286"/>
      <c r="J529" s="192">
        <f t="shared" si="18"/>
        <v>0</v>
      </c>
      <c r="K529" s="192">
        <f t="shared" si="20"/>
        <v>0</v>
      </c>
      <c r="L529" s="298" t="e">
        <f t="shared" si="21"/>
        <v>#DIV/0!</v>
      </c>
    </row>
    <row r="530" spans="1:12" hidden="1" x14ac:dyDescent="0.2">
      <c r="A530" s="178"/>
      <c r="B530" s="86" t="s">
        <v>4093</v>
      </c>
      <c r="C530" s="265" t="s">
        <v>3665</v>
      </c>
      <c r="D530" s="246">
        <f>SUMIF('ПО КОРИСНИЦИМА'!$G$16:$G$1823,"Свега за програмску активност 0602-0007:",'ПО КОРИСНИЦИМА'!$H$16:$H$1823)</f>
        <v>0</v>
      </c>
      <c r="E530" s="246">
        <f>SUMIF('ПО КОРИСНИЦИМА'!$G$16:$G$1823,"Свега за програмску активност 0602-0007:",'ПО КОРИСНИЦИМА'!$I$16:$I$1823)</f>
        <v>0</v>
      </c>
      <c r="F530" s="279"/>
      <c r="G530" s="247">
        <f>SUMIF('ПО КОРИСНИЦИМА'!$G$16:$G$1823,"Свега за програмску активност 0602-0007:",'ПО КОРИСНИЦИМА'!$L$16:$L$1823)</f>
        <v>0</v>
      </c>
      <c r="H530" s="247">
        <f>SUMIF('ПО КОРИСНИЦИМА'!$G$16:$G$1823,"Свега за програмску активност 0602-0007:",'ПО КОРИСНИЦИМА'!$M$16:$M$1823)</f>
        <v>0</v>
      </c>
      <c r="I530" s="286"/>
      <c r="J530" s="192">
        <f t="shared" si="18"/>
        <v>0</v>
      </c>
      <c r="K530" s="192">
        <f t="shared" si="20"/>
        <v>0</v>
      </c>
      <c r="L530" s="298"/>
    </row>
    <row r="531" spans="1:12" hidden="1" x14ac:dyDescent="0.2">
      <c r="A531" s="178"/>
      <c r="B531" s="86" t="s">
        <v>4094</v>
      </c>
      <c r="C531" s="265" t="s">
        <v>4095</v>
      </c>
      <c r="D531" s="246">
        <f>SUMIF('ПО КОРИСНИЦИМА'!$G$16:$G$1823,"Свега за програмску активност 0602-0008:",'ПО КОРИСНИЦИМА'!$H$16:$H$1823)</f>
        <v>0</v>
      </c>
      <c r="E531" s="246">
        <f>SUMIF('ПО КОРИСНИЦИМА'!$G$16:$G$1823,"Свега за програмску активност 0602-0008:",'ПО КОРИСНИЦИМА'!$I$16:$I$1823)</f>
        <v>0</v>
      </c>
      <c r="F531" s="279"/>
      <c r="G531" s="247">
        <f>SUMIF('ПО КОРИСНИЦИМА'!$G$16:$G$1823,"Свега за програмску активност 0602-0008:",'ПО КОРИСНИЦИМА'!$L$16:$L$1823)</f>
        <v>0</v>
      </c>
      <c r="H531" s="247">
        <f>SUMIF('ПО КОРИСНИЦИМА'!$G$16:$G$1823,"Свега за програмску активност 0602-0008:",'ПО КОРИСНИЦИМА'!$M$16:$M$1823)</f>
        <v>0</v>
      </c>
      <c r="I531" s="286"/>
      <c r="J531" s="192">
        <f t="shared" si="18"/>
        <v>0</v>
      </c>
      <c r="K531" s="192">
        <f t="shared" si="20"/>
        <v>0</v>
      </c>
      <c r="L531" s="298"/>
    </row>
    <row r="532" spans="1:12" x14ac:dyDescent="0.2">
      <c r="A532" s="178"/>
      <c r="B532" s="86" t="s">
        <v>4096</v>
      </c>
      <c r="C532" s="265" t="s">
        <v>5001</v>
      </c>
      <c r="D532" s="246">
        <f>SUMIF('ПО КОРИСНИЦИМА'!$G$16:$G$1823,"Свега за програмску активност 0602-0009:",'ПО КОРИСНИЦИМА'!$H$16:$H$1823)</f>
        <v>328744</v>
      </c>
      <c r="E532" s="246">
        <f>SUMIF('ПО КОРИСНИЦИМА'!$G$16:$G$1823,"Свега за програмску активност 0602-0009:",'ПО КОРИСНИЦИМА'!$I$16:$I$1823)</f>
        <v>0</v>
      </c>
      <c r="F532" s="279"/>
      <c r="G532" s="247">
        <f>SUMIF('ПО КОРИСНИЦИМА'!$G$16:$G$1823,"Свега за програмску активност 0602-0009:",'ПО КОРИСНИЦИМА'!$L$16:$L$1823)</f>
        <v>0</v>
      </c>
      <c r="H532" s="247">
        <f>SUMIF('ПО КОРИСНИЦИМА'!$G$16:$G$1823,"Свега за програмску активност 0602-0009:",'ПО КОРИСНИЦИМА'!$M$16:$M$1823)</f>
        <v>0</v>
      </c>
      <c r="I532" s="286"/>
      <c r="J532" s="192">
        <f t="shared" si="18"/>
        <v>328744</v>
      </c>
      <c r="K532" s="192">
        <f t="shared" si="20"/>
        <v>0</v>
      </c>
      <c r="L532" s="298"/>
    </row>
    <row r="533" spans="1:12" x14ac:dyDescent="0.2">
      <c r="A533" s="178"/>
      <c r="B533" s="86" t="s">
        <v>4097</v>
      </c>
      <c r="C533" s="265" t="s">
        <v>5002</v>
      </c>
      <c r="D533" s="246">
        <f>SUMIF('ПО КОРИСНИЦИМА'!$G$16:$G$1823,"Свега за програмску активност 0602-0010:",'ПО КОРИСНИЦИМА'!$H$16:$H$1823)</f>
        <v>34355</v>
      </c>
      <c r="E533" s="246">
        <f>SUMIF('ПО КОРИСНИЦИМА'!$G$16:$G$1823,"Свега за програмску активност 0602-0010:",'ПО КОРИСНИЦИМА'!$I$16:$I$1823)</f>
        <v>0</v>
      </c>
      <c r="F533" s="279">
        <f t="shared" si="19"/>
        <v>0</v>
      </c>
      <c r="G533" s="247">
        <f>SUMIF('ПО КОРИСНИЦИМА'!$G$16:$G$1823,"Свега за програмску активност 0602-0010:",'ПО КОРИСНИЦИМА'!$L$16:$L$1823)</f>
        <v>0</v>
      </c>
      <c r="H533" s="247">
        <f>SUMIF('ПО КОРИСНИЦИМА'!$G$16:$G$1823,"Свега за програмску активност 0602-0010:",'ПО КОРИСНИЦИМА'!$M$16:$M$1823)</f>
        <v>0</v>
      </c>
      <c r="I533" s="286"/>
      <c r="J533" s="192">
        <f t="shared" si="18"/>
        <v>34355</v>
      </c>
      <c r="K533" s="192">
        <f t="shared" si="20"/>
        <v>0</v>
      </c>
      <c r="L533" s="298">
        <f t="shared" si="21"/>
        <v>0</v>
      </c>
    </row>
    <row r="534" spans="1:12" hidden="1" x14ac:dyDescent="0.2">
      <c r="A534" s="178"/>
      <c r="B534" s="86" t="s">
        <v>5468</v>
      </c>
      <c r="C534" s="262" t="s">
        <v>5366</v>
      </c>
      <c r="D534" s="248">
        <f>SUMIF('ПО КОРИСНИЦИМА'!$G$16:$G$1823,"Свега за пројекат 0602-П1:",'ПО КОРИСНИЦИМА'!$H$16:$H$1823)</f>
        <v>0</v>
      </c>
      <c r="E534" s="248">
        <f>SUMIF('ПО КОРИСНИЦИМА'!$G$16:$G$1823,"Свега за пројекат 0602-П1:",'ПО КОРИСНИЦИМА'!$I$16:$I$1823)</f>
        <v>0</v>
      </c>
      <c r="F534" s="280" t="e">
        <f t="shared" si="19"/>
        <v>#DIV/0!</v>
      </c>
      <c r="G534" s="249">
        <f>SUMIF('ПО КОРИСНИЦИМА'!$G$16:$G$1823,"Свега за пројекат 0602-П1:",'ПО КОРИСНИЦИМА'!$L$16:$L$1823)</f>
        <v>0</v>
      </c>
      <c r="H534" s="249">
        <f>SUMIF('ПО КОРИСНИЦИМА'!$G$16:$G$1823,"Свега за пројекат 0602-П1:",'ПО КОРИСНИЦИМА'!$M$16:$M$1823)</f>
        <v>0</v>
      </c>
      <c r="I534" s="287"/>
      <c r="J534" s="192">
        <f t="shared" si="18"/>
        <v>0</v>
      </c>
      <c r="K534" s="192">
        <f t="shared" si="20"/>
        <v>0</v>
      </c>
      <c r="L534" s="298" t="e">
        <f t="shared" si="21"/>
        <v>#DIV/0!</v>
      </c>
    </row>
    <row r="535" spans="1:12" ht="25.5" x14ac:dyDescent="0.2">
      <c r="A535" s="178"/>
      <c r="B535" s="86" t="s">
        <v>4668</v>
      </c>
      <c r="C535" s="262" t="s">
        <v>5438</v>
      </c>
      <c r="D535" s="248">
        <f>SUMIF('ПО КОРИСНИЦИМА'!$G$16:$G$1823,"Свега за пројекат 0602-П2:",'ПО КОРИСНИЦИМА'!$H$16:$H$1823)</f>
        <v>926000</v>
      </c>
      <c r="E535" s="248">
        <f>SUMIF('ПО КОРИСНИЦИМА'!$G$16:$G$1823,"Свега за пројекат 0602-П2:",'ПО КОРИСНИЦИМА'!$I$16:$I$1823)</f>
        <v>0</v>
      </c>
      <c r="F535" s="280">
        <f t="shared" si="19"/>
        <v>0</v>
      </c>
      <c r="G535" s="249">
        <f>SUMIF('ПО КОРИСНИЦИМА'!$G$16:$G$1823,"Свега за пројекат 0602-П2:",'ПО КОРИСНИЦИМА'!$L$16:$L$1823)</f>
        <v>1610000</v>
      </c>
      <c r="H535" s="249">
        <f>SUMIF('ПО КОРИСНИЦИМА'!$G$16:$G$1823,"Свега за пројекат 0602-П2:",'ПО КОРИСНИЦИМА'!$M$16:$M$1823)</f>
        <v>0</v>
      </c>
      <c r="I535" s="287"/>
      <c r="J535" s="192">
        <f t="shared" si="18"/>
        <v>2536000</v>
      </c>
      <c r="K535" s="192">
        <f t="shared" si="20"/>
        <v>0</v>
      </c>
      <c r="L535" s="298">
        <f t="shared" si="21"/>
        <v>0</v>
      </c>
    </row>
    <row r="536" spans="1:12" hidden="1" x14ac:dyDescent="0.2">
      <c r="A536" s="178"/>
      <c r="B536" s="86"/>
      <c r="C536" s="262"/>
      <c r="D536" s="248">
        <f>SUMIF('ПО КОРИСНИЦИМА'!$G$16:$G$1823,"Свега за пројекат 0602-П3:",'ПО КОРИСНИЦИМА'!$H$16:$H$1823)</f>
        <v>0</v>
      </c>
      <c r="E536" s="248">
        <f>SUMIF('ПО КОРИСНИЦИМА'!$G$16:$G$1823,"Свега за пројекат 0602-П3:",'ПО КОРИСНИЦИМА'!$I$16:$I$1823)</f>
        <v>0</v>
      </c>
      <c r="F536" s="280" t="e">
        <f t="shared" si="19"/>
        <v>#DIV/0!</v>
      </c>
      <c r="G536" s="249">
        <f>SUMIF('ПО КОРИСНИЦИМА'!$G$16:$G$1823,"Свега за пројекат 0602-П3:",'ПО КОРИСНИЦИМА'!$L$16:$L$1823)</f>
        <v>0</v>
      </c>
      <c r="H536" s="249">
        <f>SUMIF('ПО КОРИСНИЦИМА'!$G$16:$G$1823,"Свега за пројекат 0602-П3:",'ПО КОРИСНИЦИМА'!$M$16:$M$1823)</f>
        <v>0</v>
      </c>
      <c r="I536" s="287"/>
      <c r="J536" s="192">
        <f t="shared" si="18"/>
        <v>0</v>
      </c>
      <c r="K536" s="192">
        <f t="shared" si="20"/>
        <v>0</v>
      </c>
      <c r="L536" s="298" t="e">
        <f t="shared" si="21"/>
        <v>#DIV/0!</v>
      </c>
    </row>
    <row r="537" spans="1:12" hidden="1" x14ac:dyDescent="0.2">
      <c r="A537" s="178"/>
      <c r="B537" s="86" t="s">
        <v>4669</v>
      </c>
      <c r="C537" s="262" t="str">
        <f>IFERROR(VLOOKUP(B537,'ПО КОРИСНИЦИМА'!$C$16:$S$1823,5,FALSE),"")</f>
        <v/>
      </c>
      <c r="D537" s="248">
        <f>SUMIF('ПО КОРИСНИЦИМА'!$G$16:$G$1823,"Свега за пројекат 0602-П4:",'ПО КОРИСНИЦИМА'!$H$16:$H$1823)</f>
        <v>0</v>
      </c>
      <c r="E537" s="248">
        <f>SUMIF('ПО КОРИСНИЦИМА'!$G$16:$G$1823,"Свега за пројекат 0602-П4:",'ПО КОРИСНИЦИМА'!$I$16:$I$1823)</f>
        <v>0</v>
      </c>
      <c r="F537" s="280" t="e">
        <f t="shared" si="19"/>
        <v>#DIV/0!</v>
      </c>
      <c r="G537" s="249">
        <f>SUMIF('ПО КОРИСНИЦИМА'!$G$16:$G$1823,"Свега за пројекат 0602-П4:",'ПО КОРИСНИЦИМА'!$L$16:$L$1823)</f>
        <v>0</v>
      </c>
      <c r="H537" s="249">
        <f>SUMIF('ПО КОРИСНИЦИМА'!$G$16:$G$1823,"Свега за пројекат 0602-П4:",'ПО КОРИСНИЦИМА'!$M$16:$M$1823)</f>
        <v>0</v>
      </c>
      <c r="I537" s="287"/>
      <c r="J537" s="192">
        <f t="shared" si="18"/>
        <v>0</v>
      </c>
      <c r="K537" s="192">
        <f t="shared" si="20"/>
        <v>0</v>
      </c>
      <c r="L537" s="298" t="e">
        <f t="shared" si="21"/>
        <v>#DIV/0!</v>
      </c>
    </row>
    <row r="538" spans="1:12" hidden="1" x14ac:dyDescent="0.2">
      <c r="A538" s="178"/>
      <c r="B538" s="86" t="s">
        <v>4670</v>
      </c>
      <c r="C538" s="262" t="str">
        <f>IFERROR(VLOOKUP(B538,'ПО КОРИСНИЦИМА'!$C$16:$S$1823,5,FALSE),"")</f>
        <v/>
      </c>
      <c r="D538" s="248">
        <f>SUMIF('ПО КОРИСНИЦИМА'!$G$16:$G$1823,"Свега за пројекат 0602-П5:",'ПО КОРИСНИЦИМА'!$H$16:$H$1823)</f>
        <v>0</v>
      </c>
      <c r="E538" s="248">
        <f>SUMIF('ПО КОРИСНИЦИМА'!$G$16:$G$1823,"Свега за пројекат 0602-П5:",'ПО КОРИСНИЦИМА'!$I$16:$I$1823)</f>
        <v>0</v>
      </c>
      <c r="F538" s="280"/>
      <c r="G538" s="249">
        <f>SUMIF('ПО КОРИСНИЦИМА'!$G$16:$G$1823,"Свега за пројекат 0602-П5:",'ПО КОРИСНИЦИМА'!$L$16:$L$1823)</f>
        <v>0</v>
      </c>
      <c r="H538" s="249">
        <f>SUMIF('ПО КОРИСНИЦИМА'!$G$16:$G$1823,"Свега за пројекат 0602-П5:",'ПО КОРИСНИЦИМА'!$M$16:$M$1823)</f>
        <v>0</v>
      </c>
      <c r="I538" s="287" t="e">
        <f>H538/G538</f>
        <v>#DIV/0!</v>
      </c>
      <c r="J538" s="192">
        <f t="shared" si="18"/>
        <v>0</v>
      </c>
      <c r="K538" s="192">
        <f t="shared" si="20"/>
        <v>0</v>
      </c>
      <c r="L538" s="298" t="e">
        <f t="shared" si="21"/>
        <v>#DIV/0!</v>
      </c>
    </row>
    <row r="539" spans="1:12" hidden="1" x14ac:dyDescent="0.2">
      <c r="A539" s="178"/>
      <c r="B539" s="86" t="s">
        <v>4671</v>
      </c>
      <c r="C539" s="262" t="str">
        <f>IFERROR(VLOOKUP(B539,'ПО КОРИСНИЦИМА'!$C$16:$S$1823,5,FALSE),"")</f>
        <v/>
      </c>
      <c r="D539" s="248">
        <f>SUMIF('ПО КОРИСНИЦИМА'!$G$16:$G$1823,"Свега за пројекат 0602-П6:",'ПО КОРИСНИЦИМА'!$H$16:$H$1823)</f>
        <v>0</v>
      </c>
      <c r="E539" s="248"/>
      <c r="F539" s="280"/>
      <c r="G539" s="249">
        <f>SUMIF('ПО КОРИСНИЦИМА'!$G$16:$G$1823,"Свега за пројекат 0602-П6:",'ПО КОРИСНИЦИМА'!$L$16:$L$1823)</f>
        <v>0</v>
      </c>
      <c r="H539" s="249"/>
      <c r="I539" s="287"/>
      <c r="J539" s="192">
        <f t="shared" si="18"/>
        <v>0</v>
      </c>
      <c r="K539" s="192"/>
      <c r="L539" s="298"/>
    </row>
    <row r="540" spans="1:12" hidden="1" x14ac:dyDescent="0.2">
      <c r="A540" s="178"/>
      <c r="B540" s="86" t="s">
        <v>4672</v>
      </c>
      <c r="C540" s="262" t="str">
        <f>IFERROR(VLOOKUP(B540,'ПО КОРИСНИЦИМА'!$C$16:$S$1823,5,FALSE),"")</f>
        <v/>
      </c>
      <c r="D540" s="248">
        <f>SUMIF('ПО КОРИСНИЦИМА'!$G$16:$G$1823,"Свега за пројекат 0602-П7:",'ПО КОРИСНИЦИМА'!$H$16:$H$1823)</f>
        <v>0</v>
      </c>
      <c r="E540" s="248"/>
      <c r="F540" s="280"/>
      <c r="G540" s="249">
        <f>SUMIF('ПО КОРИСНИЦИМА'!$G$16:$G$1823,"Свега за пројекат 0602-П7:",'ПО КОРИСНИЦИМА'!$L$16:$L$1823)</f>
        <v>0</v>
      </c>
      <c r="H540" s="249"/>
      <c r="I540" s="287"/>
      <c r="J540" s="192">
        <f t="shared" si="18"/>
        <v>0</v>
      </c>
      <c r="K540" s="192"/>
      <c r="L540" s="298"/>
    </row>
    <row r="541" spans="1:12" hidden="1" x14ac:dyDescent="0.2">
      <c r="A541" s="178"/>
      <c r="B541" s="86" t="s">
        <v>4673</v>
      </c>
      <c r="C541" s="262" t="str">
        <f>IFERROR(VLOOKUP(B541,'ПО КОРИСНИЦИМА'!$C$16:$S$1823,5,FALSE),"")</f>
        <v/>
      </c>
      <c r="D541" s="248">
        <f>SUMIF('ПО КОРИСНИЦИМА'!$G$16:$G$1823,"Свега за пројекат 0602-П8:",'ПО КОРИСНИЦИМА'!$H$16:$H$1823)</f>
        <v>0</v>
      </c>
      <c r="E541" s="248"/>
      <c r="F541" s="280"/>
      <c r="G541" s="249">
        <f>SUMIF('ПО КОРИСНИЦИМА'!$G$16:$G$1823,"Свега за пројекат 0602-П8:",'ПО КОРИСНИЦИМА'!$L$16:$L$1823)</f>
        <v>0</v>
      </c>
      <c r="H541" s="249"/>
      <c r="I541" s="287"/>
      <c r="J541" s="192">
        <f t="shared" si="18"/>
        <v>0</v>
      </c>
      <c r="K541" s="192"/>
      <c r="L541" s="298"/>
    </row>
    <row r="542" spans="1:12" hidden="1" x14ac:dyDescent="0.2">
      <c r="A542" s="178"/>
      <c r="B542" s="86" t="s">
        <v>4674</v>
      </c>
      <c r="C542" s="262" t="str">
        <f>IFERROR(VLOOKUP(B542,'ПО КОРИСНИЦИМА'!$C$16:$S$1823,5,FALSE),"")</f>
        <v/>
      </c>
      <c r="D542" s="248">
        <f>SUMIF('ПО КОРИСНИЦИМА'!$G$16:$G$1823,"Свега за пројекат 0602-П9:",'ПО КОРИСНИЦИМА'!$H$16:$H$1823)</f>
        <v>0</v>
      </c>
      <c r="E542" s="248"/>
      <c r="F542" s="280"/>
      <c r="G542" s="249">
        <f>SUMIF('ПО КОРИСНИЦИМА'!$G$16:$G$1823,"Свега за пројекат 0602-П9:",'ПО КОРИСНИЦИМА'!$L$16:$L$1823)</f>
        <v>0</v>
      </c>
      <c r="H542" s="249"/>
      <c r="I542" s="287"/>
      <c r="J542" s="192">
        <f t="shared" si="18"/>
        <v>0</v>
      </c>
      <c r="K542" s="192"/>
      <c r="L542" s="298"/>
    </row>
    <row r="543" spans="1:12" hidden="1" x14ac:dyDescent="0.2">
      <c r="A543" s="178"/>
      <c r="B543" s="86" t="s">
        <v>4675</v>
      </c>
      <c r="C543" s="262" t="str">
        <f>IFERROR(VLOOKUP(B543,'ПО КОРИСНИЦИМА'!$C$16:$S$1823,5,FALSE),"")</f>
        <v/>
      </c>
      <c r="D543" s="248">
        <f>SUMIF('ПО КОРИСНИЦИМА'!$G$16:$G$1823,"Свега за пројекат 0602-П10:",'ПО КОРИСНИЦИМА'!$H$16:$H$1823)</f>
        <v>0</v>
      </c>
      <c r="E543" s="248"/>
      <c r="F543" s="280"/>
      <c r="G543" s="249">
        <f>SUMIF('ПО КОРИСНИЦИМА'!$G$16:$G$1823,"Свега за пројекат 0602-П10:",'ПО КОРИСНИЦИМА'!$L$16:$L$1823)</f>
        <v>0</v>
      </c>
      <c r="H543" s="249"/>
      <c r="I543" s="287"/>
      <c r="J543" s="192">
        <f t="shared" si="18"/>
        <v>0</v>
      </c>
      <c r="K543" s="192"/>
      <c r="L543" s="298"/>
    </row>
    <row r="544" spans="1:12" hidden="1" x14ac:dyDescent="0.2">
      <c r="A544" s="178"/>
      <c r="B544" s="86" t="s">
        <v>4676</v>
      </c>
      <c r="C544" s="262" t="str">
        <f>IFERROR(VLOOKUP(B544,'ПО КОРИСНИЦИМА'!$C$16:$S$1823,5,FALSE),"")</f>
        <v/>
      </c>
      <c r="D544" s="248">
        <f>SUMIF('ПО КОРИСНИЦИМА'!$G$16:$G$1823,"Свега за пројекат 0602-П11:",'ПО КОРИСНИЦИМА'!$H$16:$H$1823)</f>
        <v>0</v>
      </c>
      <c r="E544" s="248"/>
      <c r="F544" s="280"/>
      <c r="G544" s="249">
        <f>SUMIF('ПО КОРИСНИЦИМА'!$G$16:$G$1823,"Свега за пројекат 0602-П11:",'ПО КОРИСНИЦИМА'!$L$16:$L$1823)</f>
        <v>0</v>
      </c>
      <c r="H544" s="249"/>
      <c r="I544" s="287"/>
      <c r="J544" s="192">
        <f t="shared" si="18"/>
        <v>0</v>
      </c>
      <c r="K544" s="192"/>
      <c r="L544" s="298"/>
    </row>
    <row r="545" spans="1:12" hidden="1" x14ac:dyDescent="0.2">
      <c r="A545" s="178"/>
      <c r="B545" s="86" t="s">
        <v>4677</v>
      </c>
      <c r="C545" s="262" t="str">
        <f>IFERROR(VLOOKUP(B545,'ПО КОРИСНИЦИМА'!$C$16:$S$1823,5,FALSE),"")</f>
        <v/>
      </c>
      <c r="D545" s="248">
        <f>SUMIF('ПО КОРИСНИЦИМА'!$G$16:$G$1823,"Свега за пројекат 0602-П12:",'ПО КОРИСНИЦИМА'!$H$16:$H$1823)</f>
        <v>0</v>
      </c>
      <c r="E545" s="248"/>
      <c r="F545" s="280"/>
      <c r="G545" s="249">
        <f>SUMIF('ПО КОРИСНИЦИМА'!$G$16:$G$1823,"Свега за пројекат 0602-П12:",'ПО КОРИСНИЦИМА'!$L$16:$L$1823)</f>
        <v>0</v>
      </c>
      <c r="H545" s="249"/>
      <c r="I545" s="287"/>
      <c r="J545" s="192">
        <f t="shared" si="18"/>
        <v>0</v>
      </c>
      <c r="K545" s="192"/>
      <c r="L545" s="298"/>
    </row>
    <row r="546" spans="1:12" hidden="1" x14ac:dyDescent="0.2">
      <c r="A546" s="178"/>
      <c r="B546" s="86" t="s">
        <v>4678</v>
      </c>
      <c r="C546" s="262" t="str">
        <f>IFERROR(VLOOKUP(B546,'ПО КОРИСНИЦИМА'!$C$16:$S$1823,5,FALSE),"")</f>
        <v/>
      </c>
      <c r="D546" s="248">
        <f>SUMIF('ПО КОРИСНИЦИМА'!$G$16:$G$1823,"Свега за пројекат 0602-П13:",'ПО КОРИСНИЦИМА'!$H$16:$H$1823)</f>
        <v>0</v>
      </c>
      <c r="E546" s="248"/>
      <c r="F546" s="280"/>
      <c r="G546" s="249">
        <f>SUMIF('ПО КОРИСНИЦИМА'!$G$16:$G$1823,"Свега за пројекат 0602-П13:",'ПО КОРИСНИЦИМА'!$L$16:$L$1823)</f>
        <v>0</v>
      </c>
      <c r="H546" s="249"/>
      <c r="I546" s="287"/>
      <c r="J546" s="192">
        <f t="shared" si="18"/>
        <v>0</v>
      </c>
      <c r="K546" s="192"/>
      <c r="L546" s="298"/>
    </row>
    <row r="547" spans="1:12" hidden="1" x14ac:dyDescent="0.2">
      <c r="A547" s="178"/>
      <c r="B547" s="86" t="s">
        <v>4679</v>
      </c>
      <c r="C547" s="262" t="str">
        <f>IFERROR(VLOOKUP(B547,'ПО КОРИСНИЦИМА'!$C$16:$S$1823,5,FALSE),"")</f>
        <v/>
      </c>
      <c r="D547" s="248">
        <f>SUMIF('ПО КОРИСНИЦИМА'!$G$16:$G$1823,"Свега за пројекат 0602-П14:",'ПО КОРИСНИЦИМА'!$H$16:$H$1823)</f>
        <v>0</v>
      </c>
      <c r="E547" s="248"/>
      <c r="F547" s="280"/>
      <c r="G547" s="249">
        <f>SUMIF('ПО КОРИСНИЦИМА'!$G$16:$G$1823,"Свега за пројекат 0602-П14:",'ПО КОРИСНИЦИМА'!$L$16:$L$1823)</f>
        <v>0</v>
      </c>
      <c r="H547" s="249"/>
      <c r="I547" s="287"/>
      <c r="J547" s="192">
        <f t="shared" si="18"/>
        <v>0</v>
      </c>
      <c r="K547" s="192"/>
      <c r="L547" s="298"/>
    </row>
    <row r="548" spans="1:12" hidden="1" x14ac:dyDescent="0.2">
      <c r="A548" s="178"/>
      <c r="B548" s="86" t="s">
        <v>4680</v>
      </c>
      <c r="C548" s="262" t="str">
        <f>IFERROR(VLOOKUP(B548,'ПО КОРИСНИЦИМА'!$C$16:$S$1823,5,FALSE),"")</f>
        <v/>
      </c>
      <c r="D548" s="248">
        <f>SUMIF('ПО КОРИСНИЦИМА'!$G$16:$G$1823,"Свега за пројекат 0602-П15:",'ПО КОРИСНИЦИМА'!$H$16:$H$1823)</f>
        <v>0</v>
      </c>
      <c r="E548" s="248"/>
      <c r="F548" s="280"/>
      <c r="G548" s="249">
        <f>SUMIF('ПО КОРИСНИЦИМА'!$G$16:$G$1823,"Свега за пројекат 0602-П15:",'ПО КОРИСНИЦИМА'!$L$16:$L$1823)</f>
        <v>0</v>
      </c>
      <c r="H548" s="249"/>
      <c r="I548" s="287"/>
      <c r="J548" s="192">
        <f t="shared" si="18"/>
        <v>0</v>
      </c>
      <c r="K548" s="192"/>
      <c r="L548" s="298"/>
    </row>
    <row r="549" spans="1:12" hidden="1" x14ac:dyDescent="0.2">
      <c r="A549" s="178"/>
      <c r="B549" s="86" t="s">
        <v>4681</v>
      </c>
      <c r="C549" s="262" t="str">
        <f>IFERROR(VLOOKUP(B549,'ПО КОРИСНИЦИМА'!$C$16:$S$1823,5,FALSE),"")</f>
        <v/>
      </c>
      <c r="D549" s="248">
        <f>SUMIF('ПО КОРИСНИЦИМА'!$G$16:$G$1823,"Свега за пројекат 0602-П16:",'ПО КОРИСНИЦИМА'!$H$16:$H$1823)</f>
        <v>0</v>
      </c>
      <c r="E549" s="248"/>
      <c r="F549" s="280"/>
      <c r="G549" s="249">
        <f>SUMIF('ПО КОРИСНИЦИМА'!$G$16:$G$1823,"Свега за пројекат 0602-П16:",'ПО КОРИСНИЦИМА'!$L$16:$L$1823)</f>
        <v>0</v>
      </c>
      <c r="H549" s="249"/>
      <c r="I549" s="287"/>
      <c r="J549" s="192">
        <f t="shared" si="18"/>
        <v>0</v>
      </c>
      <c r="K549" s="192"/>
      <c r="L549" s="298"/>
    </row>
    <row r="550" spans="1:12" hidden="1" x14ac:dyDescent="0.2">
      <c r="A550" s="178"/>
      <c r="B550" s="86" t="s">
        <v>4682</v>
      </c>
      <c r="C550" s="262" t="str">
        <f>IFERROR(VLOOKUP(B550,'ПО КОРИСНИЦИМА'!$C$16:$S$1823,5,FALSE),"")</f>
        <v/>
      </c>
      <c r="D550" s="248">
        <f>SUMIF('ПО КОРИСНИЦИМА'!$G$16:$G$1823,"Свега за пројекат 0602-П17:",'ПО КОРИСНИЦИМА'!$H$16:$H$1823)</f>
        <v>0</v>
      </c>
      <c r="E550" s="248"/>
      <c r="F550" s="280"/>
      <c r="G550" s="249">
        <f>SUMIF('ПО КОРИСНИЦИМА'!$G$16:$G$1823,"Свега за пројекат 0602-П17:",'ПО КОРИСНИЦИМА'!$L$16:$L$1823)</f>
        <v>0</v>
      </c>
      <c r="H550" s="249"/>
      <c r="I550" s="287"/>
      <c r="J550" s="192">
        <f t="shared" si="18"/>
        <v>0</v>
      </c>
      <c r="K550" s="192"/>
      <c r="L550" s="298"/>
    </row>
    <row r="551" spans="1:12" hidden="1" x14ac:dyDescent="0.2">
      <c r="A551" s="178"/>
      <c r="B551" s="86" t="s">
        <v>4683</v>
      </c>
      <c r="C551" s="262" t="str">
        <f>IFERROR(VLOOKUP(B551,'ПО КОРИСНИЦИМА'!$C$16:$S$1823,5,FALSE),"")</f>
        <v/>
      </c>
      <c r="D551" s="248">
        <f>SUMIF('ПО КОРИСНИЦИМА'!$G$16:$G$1823,"Свега за пројекат 0602-П18:",'ПО КОРИСНИЦИМА'!$H$16:$H$1823)</f>
        <v>0</v>
      </c>
      <c r="E551" s="248"/>
      <c r="F551" s="280"/>
      <c r="G551" s="249">
        <f>SUMIF('ПО КОРИСНИЦИМА'!$G$16:$G$1823,"Свега за пројекат 0602-П18:",'ПО КОРИСНИЦИМА'!$L$16:$L$1823)</f>
        <v>0</v>
      </c>
      <c r="H551" s="249"/>
      <c r="I551" s="287"/>
      <c r="J551" s="192">
        <f t="shared" si="18"/>
        <v>0</v>
      </c>
      <c r="K551" s="192"/>
      <c r="L551" s="298"/>
    </row>
    <row r="552" spans="1:12" hidden="1" x14ac:dyDescent="0.2">
      <c r="A552" s="178"/>
      <c r="B552" s="86" t="s">
        <v>4684</v>
      </c>
      <c r="C552" s="262" t="str">
        <f>IFERROR(VLOOKUP(B552,'ПО КОРИСНИЦИМА'!$C$16:$S$1823,5,FALSE),"")</f>
        <v/>
      </c>
      <c r="D552" s="248">
        <f>SUMIF('ПО КОРИСНИЦИМА'!$G$16:$G$1823,"Свега за пројекат 0602-П19:",'ПО КОРИСНИЦИМА'!$H$16:$H$1823)</f>
        <v>0</v>
      </c>
      <c r="E552" s="248"/>
      <c r="F552" s="280"/>
      <c r="G552" s="249">
        <f>SUMIF('ПО КОРИСНИЦИМА'!$G$16:$G$1823,"Свега за пројекат 0602-П19:",'ПО КОРИСНИЦИМА'!$L$16:$L$1823)</f>
        <v>0</v>
      </c>
      <c r="H552" s="249"/>
      <c r="I552" s="287"/>
      <c r="J552" s="192">
        <f t="shared" si="18"/>
        <v>0</v>
      </c>
      <c r="K552" s="192"/>
      <c r="L552" s="298"/>
    </row>
    <row r="553" spans="1:12" hidden="1" x14ac:dyDescent="0.2">
      <c r="A553" s="178"/>
      <c r="B553" s="86" t="s">
        <v>4685</v>
      </c>
      <c r="C553" s="262" t="str">
        <f>IFERROR(VLOOKUP(B553,'ПО КОРИСНИЦИМА'!$C$16:$S$1823,5,FALSE),"")</f>
        <v/>
      </c>
      <c r="D553" s="248">
        <f>SUMIF('ПО КОРИСНИЦИМА'!$G$16:$G$1823,"Свега за пројекат 0602-П20:",'ПО КОРИСНИЦИМА'!$H$16:$H$1823)</f>
        <v>0</v>
      </c>
      <c r="E553" s="248"/>
      <c r="F553" s="280"/>
      <c r="G553" s="249">
        <f>SUMIF('ПО КОРИСНИЦИМА'!$G$16:$G$1823,"Свега за пројекат 0602-П20:",'ПО КОРИСНИЦИМА'!$L$16:$L$1823)</f>
        <v>0</v>
      </c>
      <c r="H553" s="249"/>
      <c r="I553" s="287"/>
      <c r="J553" s="192">
        <f t="shared" si="18"/>
        <v>0</v>
      </c>
      <c r="K553" s="192"/>
      <c r="L553" s="298"/>
    </row>
    <row r="554" spans="1:12" hidden="1" x14ac:dyDescent="0.2">
      <c r="A554" s="178"/>
      <c r="B554" s="86" t="s">
        <v>4686</v>
      </c>
      <c r="C554" s="262" t="str">
        <f>IFERROR(VLOOKUP(B554,'ПО КОРИСНИЦИМА'!$C$16:$S$1823,5,FALSE),"")</f>
        <v/>
      </c>
      <c r="D554" s="248">
        <f>SUMIF('ПО КОРИСНИЦИМА'!$G$16:$G$1823,"Свега за пројекат 0602-П21:",'ПО КОРИСНИЦИМА'!$H$16:$H$1823)</f>
        <v>0</v>
      </c>
      <c r="E554" s="248"/>
      <c r="F554" s="280"/>
      <c r="G554" s="249">
        <f>SUMIF('ПО КОРИСНИЦИМА'!$G$16:$G$1823,"Свега за пројекат 0602-П21:",'ПО КОРИСНИЦИМА'!$L$16:$L$1823)</f>
        <v>0</v>
      </c>
      <c r="H554" s="249"/>
      <c r="I554" s="287"/>
      <c r="J554" s="192">
        <f t="shared" si="18"/>
        <v>0</v>
      </c>
      <c r="K554" s="192"/>
      <c r="L554" s="298"/>
    </row>
    <row r="555" spans="1:12" hidden="1" x14ac:dyDescent="0.2">
      <c r="A555" s="178"/>
      <c r="B555" s="86" t="s">
        <v>4687</v>
      </c>
      <c r="C555" s="262" t="str">
        <f>IFERROR(VLOOKUP(B555,'ПО КОРИСНИЦИМА'!$C$16:$S$1823,5,FALSE),"")</f>
        <v/>
      </c>
      <c r="D555" s="248">
        <f>SUMIF('ПО КОРИСНИЦИМА'!$G$16:$G$1823,"Свега за пројекат 0602-П22:",'ПО КОРИСНИЦИМА'!$H$16:$H$1823)</f>
        <v>0</v>
      </c>
      <c r="E555" s="248"/>
      <c r="F555" s="280"/>
      <c r="G555" s="249">
        <f>SUMIF('ПО КОРИСНИЦИМА'!$G$16:$G$1823,"Свега за пројекат 0602-П22:",'ПО КОРИСНИЦИМА'!$L$16:$L$1823)</f>
        <v>0</v>
      </c>
      <c r="H555" s="249"/>
      <c r="I555" s="287"/>
      <c r="J555" s="192">
        <f t="shared" si="18"/>
        <v>0</v>
      </c>
      <c r="K555" s="192"/>
      <c r="L555" s="298"/>
    </row>
    <row r="556" spans="1:12" hidden="1" x14ac:dyDescent="0.2">
      <c r="A556" s="178"/>
      <c r="B556" s="86" t="s">
        <v>4688</v>
      </c>
      <c r="C556" s="262" t="str">
        <f>IFERROR(VLOOKUP(B556,'ПО КОРИСНИЦИМА'!$C$16:$S$1823,5,FALSE),"")</f>
        <v/>
      </c>
      <c r="D556" s="248">
        <f>SUMIF('ПО КОРИСНИЦИМА'!$G$16:$G$1823,"Свега за пројекат 0602-П23:",'ПО КОРИСНИЦИМА'!$H$16:$H$1823)</f>
        <v>0</v>
      </c>
      <c r="E556" s="248"/>
      <c r="F556" s="280"/>
      <c r="G556" s="249">
        <f>SUMIF('ПО КОРИСНИЦИМА'!$G$16:$G$1823,"Свега за пројекат 0602-П23:",'ПО КОРИСНИЦИМА'!$L$16:$L$1823)</f>
        <v>0</v>
      </c>
      <c r="H556" s="249"/>
      <c r="I556" s="287"/>
      <c r="J556" s="192">
        <f t="shared" si="18"/>
        <v>0</v>
      </c>
      <c r="K556" s="192"/>
      <c r="L556" s="298"/>
    </row>
    <row r="557" spans="1:12" hidden="1" x14ac:dyDescent="0.2">
      <c r="A557" s="178"/>
      <c r="B557" s="86" t="s">
        <v>4689</v>
      </c>
      <c r="C557" s="262" t="str">
        <f>IFERROR(VLOOKUP(B557,'ПО КОРИСНИЦИМА'!$C$16:$S$1823,5,FALSE),"")</f>
        <v/>
      </c>
      <c r="D557" s="248">
        <f>SUMIF('ПО КОРИСНИЦИМА'!$G$16:$G$1823,"Свега за пројекат 0602-П24:",'ПО КОРИСНИЦИМА'!$H$16:$H$1823)</f>
        <v>0</v>
      </c>
      <c r="E557" s="248"/>
      <c r="F557" s="280"/>
      <c r="G557" s="249">
        <f>SUMIF('ПО КОРИСНИЦИМА'!$G$16:$G$1823,"Свега за пројекат 0602-П24:",'ПО КОРИСНИЦИМА'!$L$16:$L$1823)</f>
        <v>0</v>
      </c>
      <c r="H557" s="249"/>
      <c r="I557" s="287"/>
      <c r="J557" s="192">
        <f t="shared" si="18"/>
        <v>0</v>
      </c>
      <c r="K557" s="192"/>
      <c r="L557" s="298"/>
    </row>
    <row r="558" spans="1:12" hidden="1" x14ac:dyDescent="0.2">
      <c r="A558" s="178"/>
      <c r="B558" s="86" t="s">
        <v>4690</v>
      </c>
      <c r="C558" s="262" t="str">
        <f>IFERROR(VLOOKUP(B558,'ПО КОРИСНИЦИМА'!$C$16:$S$1823,5,FALSE),"")</f>
        <v/>
      </c>
      <c r="D558" s="248">
        <f>SUMIF('ПО КОРИСНИЦИМА'!$G$16:$G$1823,"Свега за пројекат 0602-П25:",'ПО КОРИСНИЦИМА'!$H$16:$H$1823)</f>
        <v>0</v>
      </c>
      <c r="E558" s="248"/>
      <c r="F558" s="280"/>
      <c r="G558" s="249">
        <f>SUMIF('ПО КОРИСНИЦИМА'!$G$16:$G$1823,"Свега за пројекат 0602-П25:",'ПО КОРИСНИЦИМА'!$L$16:$L$1823)</f>
        <v>0</v>
      </c>
      <c r="H558" s="249"/>
      <c r="I558" s="287"/>
      <c r="J558" s="192">
        <f t="shared" si="18"/>
        <v>0</v>
      </c>
      <c r="K558" s="192"/>
      <c r="L558" s="298"/>
    </row>
    <row r="559" spans="1:12" hidden="1" x14ac:dyDescent="0.2">
      <c r="A559" s="178"/>
      <c r="B559" s="86" t="s">
        <v>4691</v>
      </c>
      <c r="C559" s="262" t="str">
        <f>IFERROR(VLOOKUP(B559,'ПО КОРИСНИЦИМА'!$C$16:$S$1823,5,FALSE),"")</f>
        <v/>
      </c>
      <c r="D559" s="248">
        <f>SUMIF('ПО КОРИСНИЦИМА'!$G$16:$G$1823,"Свега за пројекат 0602-П26:",'ПО КОРИСНИЦИМА'!$H$16:$H$1823)</f>
        <v>0</v>
      </c>
      <c r="E559" s="248"/>
      <c r="F559" s="280"/>
      <c r="G559" s="249">
        <f>SUMIF('ПО КОРИСНИЦИМА'!$G$16:$G$1823,"Свега за пројекат 0602-П26:",'ПО КОРИСНИЦИМА'!$L$16:$L$1823)</f>
        <v>0</v>
      </c>
      <c r="H559" s="249"/>
      <c r="I559" s="287"/>
      <c r="J559" s="192">
        <f t="shared" si="18"/>
        <v>0</v>
      </c>
      <c r="K559" s="192"/>
      <c r="L559" s="298"/>
    </row>
    <row r="560" spans="1:12" hidden="1" x14ac:dyDescent="0.2">
      <c r="A560" s="178"/>
      <c r="B560" s="86" t="s">
        <v>4692</v>
      </c>
      <c r="C560" s="262" t="str">
        <f>IFERROR(VLOOKUP(B560,'ПО КОРИСНИЦИМА'!$C$16:$S$1823,5,FALSE),"")</f>
        <v/>
      </c>
      <c r="D560" s="248">
        <f>SUMIF('ПО КОРИСНИЦИМА'!$G$16:$G$1823,"Свега за пројекат 0602-П27:",'ПО КОРИСНИЦИМА'!$H$16:$H$1823)</f>
        <v>0</v>
      </c>
      <c r="E560" s="248"/>
      <c r="F560" s="280"/>
      <c r="G560" s="249">
        <f>SUMIF('ПО КОРИСНИЦИМА'!$G$16:$G$1823,"Свега за пројекат 0602-П27:",'ПО КОРИСНИЦИМА'!$L$16:$L$1823)</f>
        <v>0</v>
      </c>
      <c r="H560" s="249"/>
      <c r="I560" s="287"/>
      <c r="J560" s="192">
        <f t="shared" si="18"/>
        <v>0</v>
      </c>
      <c r="K560" s="192"/>
      <c r="L560" s="298"/>
    </row>
    <row r="561" spans="1:12" hidden="1" x14ac:dyDescent="0.2">
      <c r="A561" s="178"/>
      <c r="B561" s="86" t="s">
        <v>4693</v>
      </c>
      <c r="C561" s="262" t="str">
        <f>IFERROR(VLOOKUP(B561,'ПО КОРИСНИЦИМА'!$C$16:$S$1823,5,FALSE),"")</f>
        <v/>
      </c>
      <c r="D561" s="248">
        <f>SUMIF('ПО КОРИСНИЦИМА'!$G$16:$G$1823,"Свега за пројекат 0602-П28:",'ПО КОРИСНИЦИМА'!$H$16:$H$1823)</f>
        <v>0</v>
      </c>
      <c r="E561" s="248"/>
      <c r="F561" s="280"/>
      <c r="G561" s="249">
        <f>SUMIF('ПО КОРИСНИЦИМА'!$G$16:$G$1823,"Свега за пројекат 0602-П28:",'ПО КОРИСНИЦИМА'!$L$16:$L$1823)</f>
        <v>0</v>
      </c>
      <c r="H561" s="249"/>
      <c r="I561" s="287"/>
      <c r="J561" s="192">
        <f t="shared" si="18"/>
        <v>0</v>
      </c>
      <c r="K561" s="192"/>
      <c r="L561" s="298"/>
    </row>
    <row r="562" spans="1:12" hidden="1" x14ac:dyDescent="0.2">
      <c r="A562" s="178"/>
      <c r="B562" s="86" t="s">
        <v>4694</v>
      </c>
      <c r="C562" s="262" t="str">
        <f>IFERROR(VLOOKUP(B562,'ПО КОРИСНИЦИМА'!$C$16:$S$1823,5,FALSE),"")</f>
        <v/>
      </c>
      <c r="D562" s="248">
        <f>SUMIF('ПО КОРИСНИЦИМА'!$G$16:$G$1823,"Свега за пројекат 0602-П29:",'ПО КОРИСНИЦИМА'!$H$16:$H$1823)</f>
        <v>0</v>
      </c>
      <c r="E562" s="248"/>
      <c r="F562" s="280"/>
      <c r="G562" s="249">
        <f>SUMIF('ПО КОРИСНИЦИМА'!$G$16:$G$1823,"Свега за пројекат 0602-П29:",'ПО КОРИСНИЦИМА'!$L$16:$L$1823)</f>
        <v>0</v>
      </c>
      <c r="H562" s="249"/>
      <c r="I562" s="287"/>
      <c r="J562" s="192">
        <f t="shared" si="18"/>
        <v>0</v>
      </c>
      <c r="K562" s="192"/>
      <c r="L562" s="298"/>
    </row>
    <row r="563" spans="1:12" hidden="1" x14ac:dyDescent="0.2">
      <c r="A563" s="178"/>
      <c r="B563" s="86" t="s">
        <v>4695</v>
      </c>
      <c r="C563" s="262" t="str">
        <f>IFERROR(VLOOKUP(B563,'ПО КОРИСНИЦИМА'!$C$16:$S$1823,5,FALSE),"")</f>
        <v/>
      </c>
      <c r="D563" s="248">
        <f>SUMIF('ПО КОРИСНИЦИМА'!$G$16:$G$1823,"Свега за пројекат 0602-П30:",'ПО КОРИСНИЦИМА'!$H$16:$H$1823)</f>
        <v>0</v>
      </c>
      <c r="E563" s="248"/>
      <c r="F563" s="280"/>
      <c r="G563" s="249">
        <f>SUMIF('ПО КОРИСНИЦИМА'!$G$16:$G$1823,"Свега за пројекат 0602-П30:",'ПО КОРИСНИЦИМА'!$L$16:$L$1823)</f>
        <v>0</v>
      </c>
      <c r="H563" s="249"/>
      <c r="I563" s="287"/>
      <c r="J563" s="192">
        <f t="shared" si="18"/>
        <v>0</v>
      </c>
      <c r="K563" s="192"/>
      <c r="L563" s="298"/>
    </row>
    <row r="564" spans="1:12" hidden="1" x14ac:dyDescent="0.2">
      <c r="A564" s="178"/>
      <c r="B564" s="86" t="s">
        <v>4696</v>
      </c>
      <c r="C564" s="262" t="str">
        <f>IFERROR(VLOOKUP(B564,'ПО КОРИСНИЦИМА'!$C$16:$S$1823,5,FALSE),"")</f>
        <v/>
      </c>
      <c r="D564" s="248">
        <f>SUMIF('ПО КОРИСНИЦИМА'!$G$16:$G$1823,"Свега за пројекат 0602-П31:",'ПО КОРИСНИЦИМА'!$H$16:$H$1823)</f>
        <v>0</v>
      </c>
      <c r="E564" s="248"/>
      <c r="F564" s="280"/>
      <c r="G564" s="249">
        <f>SUMIF('ПО КОРИСНИЦИМА'!$G$16:$G$1823,"Свега за пројекат 0602-П31:",'ПО КОРИСНИЦИМА'!$L$16:$L$1823)</f>
        <v>0</v>
      </c>
      <c r="H564" s="249"/>
      <c r="I564" s="287"/>
      <c r="J564" s="192">
        <f t="shared" si="18"/>
        <v>0</v>
      </c>
      <c r="K564" s="192"/>
      <c r="L564" s="298"/>
    </row>
    <row r="565" spans="1:12" hidden="1" x14ac:dyDescent="0.2">
      <c r="A565" s="178"/>
      <c r="B565" s="86" t="s">
        <v>4697</v>
      </c>
      <c r="C565" s="262" t="str">
        <f>IFERROR(VLOOKUP(B565,'ПО КОРИСНИЦИМА'!$C$16:$S$1823,5,FALSE),"")</f>
        <v/>
      </c>
      <c r="D565" s="248">
        <f>SUMIF('ПО КОРИСНИЦИМА'!$G$16:$G$1823,"Свега за пројекат 0602-П32:",'ПО КОРИСНИЦИМА'!$H$16:$H$1823)</f>
        <v>0</v>
      </c>
      <c r="E565" s="248"/>
      <c r="F565" s="280"/>
      <c r="G565" s="249">
        <f>SUMIF('ПО КОРИСНИЦИМА'!$G$16:$G$1823,"Свега за пројекат 0602-П32:",'ПО КОРИСНИЦИМА'!$L$16:$L$1823)</f>
        <v>0</v>
      </c>
      <c r="H565" s="249"/>
      <c r="I565" s="287"/>
      <c r="J565" s="192">
        <f t="shared" si="18"/>
        <v>0</v>
      </c>
      <c r="K565" s="192"/>
      <c r="L565" s="298"/>
    </row>
    <row r="566" spans="1:12" hidden="1" x14ac:dyDescent="0.2">
      <c r="A566" s="178"/>
      <c r="B566" s="86" t="s">
        <v>4698</v>
      </c>
      <c r="C566" s="262" t="str">
        <f>IFERROR(VLOOKUP(B566,'ПО КОРИСНИЦИМА'!$C$16:$S$1823,5,FALSE),"")</f>
        <v/>
      </c>
      <c r="D566" s="248">
        <f>SUMIF('ПО КОРИСНИЦИМА'!$G$16:$G$1823,"Свега за пројекат 0602-П33:",'ПО КОРИСНИЦИМА'!$H$16:$H$1823)</f>
        <v>0</v>
      </c>
      <c r="E566" s="248"/>
      <c r="F566" s="280"/>
      <c r="G566" s="249">
        <f>SUMIF('ПО КОРИСНИЦИМА'!$G$16:$G$1823,"Свега за пројекат 0602-П33:",'ПО КОРИСНИЦИМА'!$L$16:$L$1823)</f>
        <v>0</v>
      </c>
      <c r="H566" s="249"/>
      <c r="I566" s="287"/>
      <c r="J566" s="192">
        <f t="shared" si="18"/>
        <v>0</v>
      </c>
      <c r="K566" s="192"/>
      <c r="L566" s="298"/>
    </row>
    <row r="567" spans="1:12" hidden="1" x14ac:dyDescent="0.2">
      <c r="A567" s="178"/>
      <c r="B567" s="86" t="s">
        <v>4699</v>
      </c>
      <c r="C567" s="262" t="str">
        <f>IFERROR(VLOOKUP(B567,'ПО КОРИСНИЦИМА'!$C$16:$S$1823,5,FALSE),"")</f>
        <v/>
      </c>
      <c r="D567" s="248">
        <f>SUMIF('ПО КОРИСНИЦИМА'!$G$16:$G$1823,"Свега за пројекат 0602-П34:",'ПО КОРИСНИЦИМА'!$H$16:$H$1823)</f>
        <v>0</v>
      </c>
      <c r="E567" s="248"/>
      <c r="F567" s="280"/>
      <c r="G567" s="249">
        <f>SUMIF('ПО КОРИСНИЦИМА'!$G$16:$G$1823,"Свега за пројекат 0602-П34:",'ПО КОРИСНИЦИМА'!$L$16:$L$1823)</f>
        <v>0</v>
      </c>
      <c r="H567" s="249"/>
      <c r="I567" s="287"/>
      <c r="J567" s="192">
        <f t="shared" si="18"/>
        <v>0</v>
      </c>
      <c r="K567" s="192"/>
      <c r="L567" s="298"/>
    </row>
    <row r="568" spans="1:12" hidden="1" x14ac:dyDescent="0.2">
      <c r="A568" s="178"/>
      <c r="B568" s="86" t="s">
        <v>4700</v>
      </c>
      <c r="C568" s="262" t="str">
        <f>IFERROR(VLOOKUP(B568,'ПО КОРИСНИЦИМА'!$C$16:$S$1823,5,FALSE),"")</f>
        <v/>
      </c>
      <c r="D568" s="248">
        <f>SUMIF('ПО КОРИСНИЦИМА'!$G$16:$G$1823,"Свега за пројекат 0602-П35:",'ПО КОРИСНИЦИМА'!$H$16:$H$1823)</f>
        <v>0</v>
      </c>
      <c r="E568" s="248"/>
      <c r="F568" s="280"/>
      <c r="G568" s="249">
        <f>SUMIF('ПО КОРИСНИЦИМА'!$G$16:$G$1823,"Свега за пројекат 0602-П35:",'ПО КОРИСНИЦИМА'!$L$16:$L$1823)</f>
        <v>0</v>
      </c>
      <c r="H568" s="249"/>
      <c r="I568" s="287"/>
      <c r="J568" s="192">
        <f t="shared" si="18"/>
        <v>0</v>
      </c>
      <c r="K568" s="192"/>
      <c r="L568" s="298"/>
    </row>
    <row r="569" spans="1:12" hidden="1" x14ac:dyDescent="0.2">
      <c r="A569" s="178"/>
      <c r="B569" s="86" t="s">
        <v>4701</v>
      </c>
      <c r="C569" s="262" t="str">
        <f>IFERROR(VLOOKUP(B569,'ПО КОРИСНИЦИМА'!$C$16:$S$1823,5,FALSE),"")</f>
        <v/>
      </c>
      <c r="D569" s="248">
        <f>SUMIF('ПО КОРИСНИЦИМА'!$G$16:$G$1823,"Свега за пројекат 0602-П36:",'ПО КОРИСНИЦИМА'!$H$16:$H$1823)</f>
        <v>0</v>
      </c>
      <c r="E569" s="248"/>
      <c r="F569" s="280"/>
      <c r="G569" s="249">
        <f>SUMIF('ПО КОРИСНИЦИМА'!$G$16:$G$1823,"Свега за пројекат 0602-П36:",'ПО КОРИСНИЦИМА'!$L$16:$L$1823)</f>
        <v>0</v>
      </c>
      <c r="H569" s="249"/>
      <c r="I569" s="287"/>
      <c r="J569" s="192">
        <f t="shared" si="18"/>
        <v>0</v>
      </c>
      <c r="K569" s="192"/>
      <c r="L569" s="298"/>
    </row>
    <row r="570" spans="1:12" hidden="1" x14ac:dyDescent="0.2">
      <c r="A570" s="178"/>
      <c r="B570" s="86" t="s">
        <v>4702</v>
      </c>
      <c r="C570" s="262" t="str">
        <f>IFERROR(VLOOKUP(B570,'ПО КОРИСНИЦИМА'!$C$16:$S$1823,5,FALSE),"")</f>
        <v/>
      </c>
      <c r="D570" s="248">
        <f>SUMIF('ПО КОРИСНИЦИМА'!$G$16:$G$1823,"Свега за пројекат 0602-П37:",'ПО КОРИСНИЦИМА'!$H$16:$H$1823)</f>
        <v>0</v>
      </c>
      <c r="E570" s="248"/>
      <c r="F570" s="280"/>
      <c r="G570" s="249">
        <f>SUMIF('ПО КОРИСНИЦИМА'!$G$16:$G$1823,"Свега за пројекат 0602-П37:",'ПО КОРИСНИЦИМА'!$L$16:$L$1823)</f>
        <v>0</v>
      </c>
      <c r="H570" s="249"/>
      <c r="I570" s="287"/>
      <c r="J570" s="192">
        <f t="shared" si="18"/>
        <v>0</v>
      </c>
      <c r="K570" s="192"/>
      <c r="L570" s="298"/>
    </row>
    <row r="571" spans="1:12" hidden="1" x14ac:dyDescent="0.2">
      <c r="A571" s="178"/>
      <c r="B571" s="86" t="s">
        <v>4703</v>
      </c>
      <c r="C571" s="262" t="str">
        <f>IFERROR(VLOOKUP(B571,'ПО КОРИСНИЦИМА'!$C$16:$S$1823,5,FALSE),"")</f>
        <v/>
      </c>
      <c r="D571" s="248">
        <f>SUMIF('ПО КОРИСНИЦИМА'!$G$16:$G$1823,"Свега за пројекат 0602-П38:",'ПО КОРИСНИЦИМА'!$H$16:$H$1823)</f>
        <v>0</v>
      </c>
      <c r="E571" s="248"/>
      <c r="F571" s="280"/>
      <c r="G571" s="249">
        <f>SUMIF('ПО КОРИСНИЦИМА'!$G$16:$G$1823,"Свега за пројекат 0602-П38:",'ПО КОРИСНИЦИМА'!$L$16:$L$1823)</f>
        <v>0</v>
      </c>
      <c r="H571" s="249"/>
      <c r="I571" s="287"/>
      <c r="J571" s="192">
        <f t="shared" si="18"/>
        <v>0</v>
      </c>
      <c r="K571" s="192"/>
      <c r="L571" s="298"/>
    </row>
    <row r="572" spans="1:12" hidden="1" x14ac:dyDescent="0.2">
      <c r="A572" s="178"/>
      <c r="B572" s="86" t="s">
        <v>4704</v>
      </c>
      <c r="C572" s="262" t="str">
        <f>IFERROR(VLOOKUP(B572,'ПО КОРИСНИЦИМА'!$C$16:$S$1823,5,FALSE),"")</f>
        <v/>
      </c>
      <c r="D572" s="248">
        <f>SUMIF('ПО КОРИСНИЦИМА'!$G$16:$G$1823,"Свега за пројекат 0602-П39:",'ПО КОРИСНИЦИМА'!$H$16:$H$1823)</f>
        <v>0</v>
      </c>
      <c r="E572" s="248"/>
      <c r="F572" s="280"/>
      <c r="G572" s="249">
        <f>SUMIF('ПО КОРИСНИЦИМА'!$G$16:$G$1823,"Свега за пројекат 0602-П39:",'ПО КОРИСНИЦИМА'!$L$16:$L$1823)</f>
        <v>0</v>
      </c>
      <c r="H572" s="249"/>
      <c r="I572" s="287"/>
      <c r="J572" s="192">
        <f t="shared" si="18"/>
        <v>0</v>
      </c>
      <c r="K572" s="192"/>
      <c r="L572" s="298"/>
    </row>
    <row r="573" spans="1:12" hidden="1" x14ac:dyDescent="0.2">
      <c r="A573" s="178"/>
      <c r="B573" s="86" t="s">
        <v>4705</v>
      </c>
      <c r="C573" s="262" t="str">
        <f>IFERROR(VLOOKUP(B573,'ПО КОРИСНИЦИМА'!$C$16:$S$1823,5,FALSE),"")</f>
        <v/>
      </c>
      <c r="D573" s="248">
        <f>SUMIF('ПО КОРИСНИЦИМА'!$G$16:$G$1823,"Свега за пројекат 0602-П40:",'ПО КОРИСНИЦИМА'!$H$16:$H$1823)</f>
        <v>0</v>
      </c>
      <c r="E573" s="248"/>
      <c r="F573" s="280"/>
      <c r="G573" s="249">
        <f>SUMIF('ПО КОРИСНИЦИМА'!$G$16:$G$1823,"Свега за пројекат 0602-П40:",'ПО КОРИСНИЦИМА'!$L$16:$L$1823)</f>
        <v>0</v>
      </c>
      <c r="H573" s="249"/>
      <c r="I573" s="287"/>
      <c r="J573" s="192">
        <f t="shared" si="18"/>
        <v>0</v>
      </c>
      <c r="K573" s="192"/>
      <c r="L573" s="298"/>
    </row>
    <row r="574" spans="1:12" hidden="1" x14ac:dyDescent="0.2">
      <c r="A574" s="178"/>
      <c r="B574" s="86" t="s">
        <v>4706</v>
      </c>
      <c r="C574" s="262" t="str">
        <f>IFERROR(VLOOKUP(B574,'ПО КОРИСНИЦИМА'!$C$16:$S$1823,5,FALSE),"")</f>
        <v/>
      </c>
      <c r="D574" s="248">
        <f>SUMIF('ПО КОРИСНИЦИМА'!$G$16:$G$1823,"Свега за пројекат 0602-П41:",'ПО КОРИСНИЦИМА'!$H$16:$H$1823)</f>
        <v>0</v>
      </c>
      <c r="E574" s="248"/>
      <c r="F574" s="280"/>
      <c r="G574" s="249">
        <f>SUMIF('ПО КОРИСНИЦИМА'!$G$16:$G$1823,"Свега за пројекат 0602-П41:",'ПО КОРИСНИЦИМА'!$L$16:$L$1823)</f>
        <v>0</v>
      </c>
      <c r="H574" s="249"/>
      <c r="I574" s="287"/>
      <c r="J574" s="192">
        <f t="shared" si="18"/>
        <v>0</v>
      </c>
      <c r="K574" s="192"/>
      <c r="L574" s="298"/>
    </row>
    <row r="575" spans="1:12" hidden="1" x14ac:dyDescent="0.2">
      <c r="A575" s="178"/>
      <c r="B575" s="86" t="s">
        <v>4707</v>
      </c>
      <c r="C575" s="262" t="str">
        <f>IFERROR(VLOOKUP(B575,'ПО КОРИСНИЦИМА'!$C$16:$S$1823,5,FALSE),"")</f>
        <v/>
      </c>
      <c r="D575" s="248">
        <f>SUMIF('ПО КОРИСНИЦИМА'!$G$16:$G$1823,"Свега за пројекат 0602-П42:",'ПО КОРИСНИЦИМА'!$H$16:$H$1823)</f>
        <v>0</v>
      </c>
      <c r="E575" s="248"/>
      <c r="F575" s="280"/>
      <c r="G575" s="249">
        <f>SUMIF('ПО КОРИСНИЦИМА'!$G$16:$G$1823,"Свега за пројекат 0602-П42:",'ПО КОРИСНИЦИМА'!$L$16:$L$1823)</f>
        <v>0</v>
      </c>
      <c r="H575" s="249"/>
      <c r="I575" s="287"/>
      <c r="J575" s="192">
        <f t="shared" si="18"/>
        <v>0</v>
      </c>
      <c r="K575" s="192"/>
      <c r="L575" s="298"/>
    </row>
    <row r="576" spans="1:12" hidden="1" x14ac:dyDescent="0.2">
      <c r="A576" s="178"/>
      <c r="B576" s="86" t="s">
        <v>4708</v>
      </c>
      <c r="C576" s="262" t="str">
        <f>IFERROR(VLOOKUP(B576,'ПО КОРИСНИЦИМА'!$C$16:$S$1823,5,FALSE),"")</f>
        <v/>
      </c>
      <c r="D576" s="248">
        <f>SUMIF('ПО КОРИСНИЦИМА'!$G$16:$G$1823,"Свега за пројекат 0602-П43:",'ПО КОРИСНИЦИМА'!$H$16:$H$1823)</f>
        <v>0</v>
      </c>
      <c r="E576" s="248"/>
      <c r="F576" s="280"/>
      <c r="G576" s="249">
        <f>SUMIF('ПО КОРИСНИЦИМА'!$G$16:$G$1823,"Свега за пројекат 0602-П43:",'ПО КОРИСНИЦИМА'!$L$16:$L$1823)</f>
        <v>0</v>
      </c>
      <c r="H576" s="249"/>
      <c r="I576" s="287"/>
      <c r="J576" s="192">
        <f t="shared" ref="J576:J616" si="22">D576+G576</f>
        <v>0</v>
      </c>
      <c r="K576" s="192"/>
      <c r="L576" s="298"/>
    </row>
    <row r="577" spans="1:12" hidden="1" x14ac:dyDescent="0.2">
      <c r="A577" s="178"/>
      <c r="B577" s="86" t="s">
        <v>4709</v>
      </c>
      <c r="C577" s="262" t="str">
        <f>IFERROR(VLOOKUP(B577,'ПО КОРИСНИЦИМА'!$C$16:$S$1823,5,FALSE),"")</f>
        <v/>
      </c>
      <c r="D577" s="248">
        <f>SUMIF('ПО КОРИСНИЦИМА'!$G$16:$G$1823,"Свега за пројекат 0602-П44:",'ПО КОРИСНИЦИМА'!$H$16:$H$1823)</f>
        <v>0</v>
      </c>
      <c r="E577" s="248"/>
      <c r="F577" s="280"/>
      <c r="G577" s="249">
        <f>SUMIF('ПО КОРИСНИЦИМА'!$G$16:$G$1823,"Свега за пројекат 0602-П44:",'ПО КОРИСНИЦИМА'!$L$16:$L$1823)</f>
        <v>0</v>
      </c>
      <c r="H577" s="249"/>
      <c r="I577" s="287"/>
      <c r="J577" s="192">
        <f t="shared" si="22"/>
        <v>0</v>
      </c>
      <c r="K577" s="192"/>
      <c r="L577" s="298"/>
    </row>
    <row r="578" spans="1:12" hidden="1" x14ac:dyDescent="0.2">
      <c r="A578" s="178"/>
      <c r="B578" s="86" t="s">
        <v>4710</v>
      </c>
      <c r="C578" s="262" t="str">
        <f>IFERROR(VLOOKUP(B578,'ПО КОРИСНИЦИМА'!$C$16:$S$1823,5,FALSE),"")</f>
        <v/>
      </c>
      <c r="D578" s="248">
        <f>SUMIF('ПО КОРИСНИЦИМА'!$G$16:$G$1823,"Свега за пројекат 0602-П45:",'ПО КОРИСНИЦИМА'!$H$16:$H$1823)</f>
        <v>0</v>
      </c>
      <c r="E578" s="248"/>
      <c r="F578" s="280"/>
      <c r="G578" s="249">
        <f>SUMIF('ПО КОРИСНИЦИМА'!$G$16:$G$1823,"Свега за пројекат 0602-П45:",'ПО КОРИСНИЦИМА'!$L$16:$L$1823)</f>
        <v>0</v>
      </c>
      <c r="H578" s="249"/>
      <c r="I578" s="287"/>
      <c r="J578" s="192">
        <f t="shared" si="22"/>
        <v>0</v>
      </c>
      <c r="K578" s="192"/>
      <c r="L578" s="298"/>
    </row>
    <row r="579" spans="1:12" hidden="1" x14ac:dyDescent="0.2">
      <c r="A579" s="178"/>
      <c r="B579" s="86" t="s">
        <v>4711</v>
      </c>
      <c r="C579" s="262" t="str">
        <f>IFERROR(VLOOKUP(B579,'ПО КОРИСНИЦИМА'!$C$16:$S$1823,5,FALSE),"")</f>
        <v/>
      </c>
      <c r="D579" s="248">
        <f>SUMIF('ПО КОРИСНИЦИМА'!$G$16:$G$1823,"Свега за пројекат 0602-П46:",'ПО КОРИСНИЦИМА'!$H$16:$H$1823)</f>
        <v>0</v>
      </c>
      <c r="E579" s="248"/>
      <c r="F579" s="280"/>
      <c r="G579" s="249">
        <f>SUMIF('ПО КОРИСНИЦИМА'!$G$16:$G$1823,"Свега за пројекат 0602-П46:",'ПО КОРИСНИЦИМА'!$L$16:$L$1823)</f>
        <v>0</v>
      </c>
      <c r="H579" s="249"/>
      <c r="I579" s="287"/>
      <c r="J579" s="192">
        <f t="shared" si="22"/>
        <v>0</v>
      </c>
      <c r="K579" s="192"/>
      <c r="L579" s="298"/>
    </row>
    <row r="580" spans="1:12" hidden="1" x14ac:dyDescent="0.2">
      <c r="A580" s="178"/>
      <c r="B580" s="86" t="s">
        <v>4712</v>
      </c>
      <c r="C580" s="262" t="str">
        <f>IFERROR(VLOOKUP(B580,'ПО КОРИСНИЦИМА'!$C$16:$S$1823,5,FALSE),"")</f>
        <v/>
      </c>
      <c r="D580" s="248">
        <f>SUMIF('ПО КОРИСНИЦИМА'!$G$16:$G$1823,"Свега за пројекат 0602-П47:",'ПО КОРИСНИЦИМА'!$H$16:$H$1823)</f>
        <v>0</v>
      </c>
      <c r="E580" s="248"/>
      <c r="F580" s="280"/>
      <c r="G580" s="249">
        <f>SUMIF('ПО КОРИСНИЦИМА'!$G$16:$G$1823,"Свега за пројекат 0602-П47:",'ПО КОРИСНИЦИМА'!$L$16:$L$1823)</f>
        <v>0</v>
      </c>
      <c r="H580" s="249"/>
      <c r="I580" s="287"/>
      <c r="J580" s="192">
        <f t="shared" si="22"/>
        <v>0</v>
      </c>
      <c r="K580" s="192"/>
      <c r="L580" s="298"/>
    </row>
    <row r="581" spans="1:12" hidden="1" x14ac:dyDescent="0.2">
      <c r="A581" s="178"/>
      <c r="B581" s="86" t="s">
        <v>4713</v>
      </c>
      <c r="C581" s="262" t="str">
        <f>IFERROR(VLOOKUP(B581,'ПО КОРИСНИЦИМА'!$C$16:$S$1823,5,FALSE),"")</f>
        <v/>
      </c>
      <c r="D581" s="248">
        <f>SUMIF('ПО КОРИСНИЦИМА'!$G$16:$G$1823,"Свега за пројекат 0602-П48:",'ПО КОРИСНИЦИМА'!$H$16:$H$1823)</f>
        <v>0</v>
      </c>
      <c r="E581" s="248"/>
      <c r="F581" s="280"/>
      <c r="G581" s="249">
        <f>SUMIF('ПО КОРИСНИЦИМА'!$G$16:$G$1823,"Свега за пројекат 0602-П48:",'ПО КОРИСНИЦИМА'!$L$16:$L$1823)</f>
        <v>0</v>
      </c>
      <c r="H581" s="249"/>
      <c r="I581" s="287"/>
      <c r="J581" s="192">
        <f t="shared" si="22"/>
        <v>0</v>
      </c>
      <c r="K581" s="192"/>
      <c r="L581" s="298"/>
    </row>
    <row r="582" spans="1:12" hidden="1" x14ac:dyDescent="0.2">
      <c r="A582" s="178"/>
      <c r="B582" s="86" t="s">
        <v>4714</v>
      </c>
      <c r="C582" s="262" t="str">
        <f>IFERROR(VLOOKUP(B582,'ПО КОРИСНИЦИМА'!$C$16:$S$1823,5,FALSE),"")</f>
        <v/>
      </c>
      <c r="D582" s="248">
        <f>SUMIF('ПО КОРИСНИЦИМА'!$G$16:$G$1823,"Свега за пројекат 0602-П49:",'ПО КОРИСНИЦИМА'!$H$16:$H$1823)</f>
        <v>0</v>
      </c>
      <c r="E582" s="248"/>
      <c r="F582" s="280"/>
      <c r="G582" s="249">
        <f>SUMIF('ПО КОРИСНИЦИМА'!$G$16:$G$1823,"Свега за пројекат 0602-П49:",'ПО КОРИСНИЦИМА'!$L$16:$L$1823)</f>
        <v>0</v>
      </c>
      <c r="H582" s="249"/>
      <c r="I582" s="287"/>
      <c r="J582" s="192">
        <f t="shared" si="22"/>
        <v>0</v>
      </c>
      <c r="K582" s="192"/>
      <c r="L582" s="298"/>
    </row>
    <row r="583" spans="1:12" hidden="1" x14ac:dyDescent="0.2">
      <c r="A583" s="178"/>
      <c r="B583" s="86" t="s">
        <v>4715</v>
      </c>
      <c r="C583" s="262" t="str">
        <f>IFERROR(VLOOKUP(B583,'ПО КОРИСНИЦИМА'!$C$16:$S$1823,5,FALSE),"")</f>
        <v/>
      </c>
      <c r="D583" s="248">
        <f>SUMIF('ПО КОРИСНИЦИМА'!$G$16:$G$1823,"Свега за пројекат 0602-П50:",'ПО КОРИСНИЦИМА'!$H$16:$H$1823)</f>
        <v>0</v>
      </c>
      <c r="E583" s="248"/>
      <c r="F583" s="280"/>
      <c r="G583" s="249">
        <f>SUMIF('ПО КОРИСНИЦИМА'!$G$16:$G$1823,"Свега за пројекат 0602-П50:",'ПО КОРИСНИЦИМА'!$L$16:$L$1823)</f>
        <v>0</v>
      </c>
      <c r="H583" s="249"/>
      <c r="I583" s="287"/>
      <c r="J583" s="192">
        <f t="shared" si="22"/>
        <v>0</v>
      </c>
      <c r="K583" s="192"/>
      <c r="L583" s="298"/>
    </row>
    <row r="584" spans="1:12" hidden="1" x14ac:dyDescent="0.2">
      <c r="A584" s="178"/>
      <c r="B584" s="86" t="s">
        <v>4716</v>
      </c>
      <c r="C584" s="262" t="str">
        <f>IFERROR(VLOOKUP(B584,'ПО КОРИСНИЦИМА'!$C$16:$S$1823,5,FALSE),"")</f>
        <v/>
      </c>
      <c r="D584" s="248">
        <f>SUMIF('ПО КОРИСНИЦИМА'!$G$16:$G$1823,"Свега за пројекат 0602-П51:",'ПО КОРИСНИЦИМА'!$H$16:$H$1823)</f>
        <v>0</v>
      </c>
      <c r="E584" s="248"/>
      <c r="F584" s="280"/>
      <c r="G584" s="249">
        <f>SUMIF('ПО КОРИСНИЦИМА'!$G$16:$G$1823,"Свега за пројекат 0602-П51:",'ПО КОРИСНИЦИМА'!$L$16:$L$1823)</f>
        <v>0</v>
      </c>
      <c r="H584" s="249"/>
      <c r="I584" s="287"/>
      <c r="J584" s="192">
        <f t="shared" si="22"/>
        <v>0</v>
      </c>
      <c r="K584" s="192"/>
      <c r="L584" s="298"/>
    </row>
    <row r="585" spans="1:12" hidden="1" x14ac:dyDescent="0.2">
      <c r="A585" s="178"/>
      <c r="B585" s="86" t="s">
        <v>4717</v>
      </c>
      <c r="C585" s="262" t="str">
        <f>IFERROR(VLOOKUP(B585,'ПО КОРИСНИЦИМА'!$C$16:$S$1823,5,FALSE),"")</f>
        <v/>
      </c>
      <c r="D585" s="248">
        <f>SUMIF('ПО КОРИСНИЦИМА'!$G$16:$G$1823,"Свега за пројекат 0602-П52:",'ПО КОРИСНИЦИМА'!$H$16:$H$1823)</f>
        <v>0</v>
      </c>
      <c r="E585" s="248"/>
      <c r="F585" s="280"/>
      <c r="G585" s="249">
        <f>SUMIF('ПО КОРИСНИЦИМА'!$G$16:$G$1823,"Свега за пројекат 0602-П52:",'ПО КОРИСНИЦИМА'!$L$16:$L$1823)</f>
        <v>0</v>
      </c>
      <c r="H585" s="249"/>
      <c r="I585" s="287"/>
      <c r="J585" s="192">
        <f t="shared" si="22"/>
        <v>0</v>
      </c>
      <c r="K585" s="192"/>
      <c r="L585" s="298"/>
    </row>
    <row r="586" spans="1:12" hidden="1" x14ac:dyDescent="0.2">
      <c r="A586" s="178"/>
      <c r="B586" s="86" t="s">
        <v>4718</v>
      </c>
      <c r="C586" s="262" t="str">
        <f>IFERROR(VLOOKUP(B586,'ПО КОРИСНИЦИМА'!$C$16:$S$1823,5,FALSE),"")</f>
        <v/>
      </c>
      <c r="D586" s="248">
        <f>SUMIF('ПО КОРИСНИЦИМА'!$G$16:$G$1823,"Свега за пројекат 0602-П53:",'ПО КОРИСНИЦИМА'!$H$16:$H$1823)</f>
        <v>0</v>
      </c>
      <c r="E586" s="248"/>
      <c r="F586" s="280"/>
      <c r="G586" s="249">
        <f>SUMIF('ПО КОРИСНИЦИМА'!$G$16:$G$1823,"Свега за пројекат 0602-П53:",'ПО КОРИСНИЦИМА'!$L$16:$L$1823)</f>
        <v>0</v>
      </c>
      <c r="H586" s="249"/>
      <c r="I586" s="287"/>
      <c r="J586" s="192">
        <f t="shared" si="22"/>
        <v>0</v>
      </c>
      <c r="K586" s="192"/>
      <c r="L586" s="298"/>
    </row>
    <row r="587" spans="1:12" hidden="1" x14ac:dyDescent="0.2">
      <c r="A587" s="178"/>
      <c r="B587" s="86" t="s">
        <v>4719</v>
      </c>
      <c r="C587" s="262" t="str">
        <f>IFERROR(VLOOKUP(B587,'ПО КОРИСНИЦИМА'!$C$16:$S$1823,5,FALSE),"")</f>
        <v/>
      </c>
      <c r="D587" s="248">
        <f>SUMIF('ПО КОРИСНИЦИМА'!$G$16:$G$1823,"Свега за пројекат 0602-П54:",'ПО КОРИСНИЦИМА'!$H$16:$H$1823)</f>
        <v>0</v>
      </c>
      <c r="E587" s="248"/>
      <c r="F587" s="280"/>
      <c r="G587" s="249">
        <f>SUMIF('ПО КОРИСНИЦИМА'!$G$16:$G$1823,"Свега за пројекат 0602-П54:",'ПО КОРИСНИЦИМА'!$L$16:$L$1823)</f>
        <v>0</v>
      </c>
      <c r="H587" s="249"/>
      <c r="I587" s="287"/>
      <c r="J587" s="192">
        <f t="shared" si="22"/>
        <v>0</v>
      </c>
      <c r="K587" s="192"/>
      <c r="L587" s="298"/>
    </row>
    <row r="588" spans="1:12" hidden="1" x14ac:dyDescent="0.2">
      <c r="A588" s="178"/>
      <c r="B588" s="86" t="s">
        <v>4720</v>
      </c>
      <c r="C588" s="262" t="str">
        <f>IFERROR(VLOOKUP(B588,'ПО КОРИСНИЦИМА'!$C$16:$S$1823,5,FALSE),"")</f>
        <v/>
      </c>
      <c r="D588" s="248">
        <f>SUMIF('ПО КОРИСНИЦИМА'!$G$16:$G$1823,"Свега за пројекат 0602-П55:",'ПО КОРИСНИЦИМА'!$H$16:$H$1823)</f>
        <v>0</v>
      </c>
      <c r="E588" s="248"/>
      <c r="F588" s="280"/>
      <c r="G588" s="249">
        <f>SUMIF('ПО КОРИСНИЦИМА'!$G$16:$G$1823,"Свега за пројекат 0602-П55:",'ПО КОРИСНИЦИМА'!$L$16:$L$1823)</f>
        <v>0</v>
      </c>
      <c r="H588" s="249"/>
      <c r="I588" s="287"/>
      <c r="J588" s="192">
        <f t="shared" si="22"/>
        <v>0</v>
      </c>
      <c r="K588" s="192"/>
      <c r="L588" s="298"/>
    </row>
    <row r="589" spans="1:12" hidden="1" x14ac:dyDescent="0.2">
      <c r="A589" s="178"/>
      <c r="B589" s="86" t="s">
        <v>4721</v>
      </c>
      <c r="C589" s="262" t="str">
        <f>IFERROR(VLOOKUP(B589,'ПО КОРИСНИЦИМА'!$C$16:$S$1823,5,FALSE),"")</f>
        <v/>
      </c>
      <c r="D589" s="248">
        <f>SUMIF('ПО КОРИСНИЦИМА'!$G$16:$G$1823,"Свега за пројекат 0602-П56:",'ПО КОРИСНИЦИМА'!$H$16:$H$1823)</f>
        <v>0</v>
      </c>
      <c r="E589" s="248"/>
      <c r="F589" s="280"/>
      <c r="G589" s="249">
        <f>SUMIF('ПО КОРИСНИЦИМА'!$G$16:$G$1823,"Свега за пројекат 0602-П56:",'ПО КОРИСНИЦИМА'!$L$16:$L$1823)</f>
        <v>0</v>
      </c>
      <c r="H589" s="249"/>
      <c r="I589" s="287"/>
      <c r="J589" s="192">
        <f t="shared" si="22"/>
        <v>0</v>
      </c>
      <c r="K589" s="192"/>
      <c r="L589" s="298"/>
    </row>
    <row r="590" spans="1:12" hidden="1" x14ac:dyDescent="0.2">
      <c r="A590" s="178"/>
      <c r="B590" s="86" t="s">
        <v>4722</v>
      </c>
      <c r="C590" s="262" t="str">
        <f>IFERROR(VLOOKUP(B590,'ПО КОРИСНИЦИМА'!$C$16:$S$1823,5,FALSE),"")</f>
        <v/>
      </c>
      <c r="D590" s="248">
        <f>SUMIF('ПО КОРИСНИЦИМА'!$G$16:$G$1823,"Свега за пројекат 0602-П57:",'ПО КОРИСНИЦИМА'!$H$16:$H$1823)</f>
        <v>0</v>
      </c>
      <c r="E590" s="248"/>
      <c r="F590" s="280"/>
      <c r="G590" s="249">
        <f>SUMIF('ПО КОРИСНИЦИМА'!$G$16:$G$1823,"Свега за пројекат 0602-П57:",'ПО КОРИСНИЦИМА'!$L$16:$L$1823)</f>
        <v>0</v>
      </c>
      <c r="H590" s="249"/>
      <c r="I590" s="287"/>
      <c r="J590" s="192">
        <f t="shared" si="22"/>
        <v>0</v>
      </c>
      <c r="K590" s="192"/>
      <c r="L590" s="298"/>
    </row>
    <row r="591" spans="1:12" hidden="1" x14ac:dyDescent="0.2">
      <c r="A591" s="178"/>
      <c r="B591" s="86" t="s">
        <v>4723</v>
      </c>
      <c r="C591" s="262" t="str">
        <f>IFERROR(VLOOKUP(B591,'ПО КОРИСНИЦИМА'!$C$16:$S$1823,5,FALSE),"")</f>
        <v/>
      </c>
      <c r="D591" s="248">
        <f>SUMIF('ПО КОРИСНИЦИМА'!$G$16:$G$1823,"Свега за пројекат 0602-П58:",'ПО КОРИСНИЦИМА'!$H$16:$H$1823)</f>
        <v>0</v>
      </c>
      <c r="E591" s="248"/>
      <c r="F591" s="280"/>
      <c r="G591" s="249">
        <f>SUMIF('ПО КОРИСНИЦИМА'!$G$16:$G$1823,"Свега за пројекат 0602-П58:",'ПО КОРИСНИЦИМА'!$L$16:$L$1823)</f>
        <v>0</v>
      </c>
      <c r="H591" s="249"/>
      <c r="I591" s="287"/>
      <c r="J591" s="192">
        <f t="shared" si="22"/>
        <v>0</v>
      </c>
      <c r="K591" s="192"/>
      <c r="L591" s="298"/>
    </row>
    <row r="592" spans="1:12" hidden="1" x14ac:dyDescent="0.2">
      <c r="A592" s="178"/>
      <c r="B592" s="86" t="s">
        <v>4724</v>
      </c>
      <c r="C592" s="262" t="str">
        <f>IFERROR(VLOOKUP(B592,'ПО КОРИСНИЦИМА'!$C$16:$S$1823,5,FALSE),"")</f>
        <v/>
      </c>
      <c r="D592" s="248">
        <f>SUMIF('ПО КОРИСНИЦИМА'!$G$16:$G$1823,"Свега за пројекат 0602-П59:",'ПО КОРИСНИЦИМА'!$H$16:$H$1823)</f>
        <v>0</v>
      </c>
      <c r="E592" s="248"/>
      <c r="F592" s="280"/>
      <c r="G592" s="249">
        <f>SUMIF('ПО КОРИСНИЦИМА'!$G$16:$G$1823,"Свега за пројекат 0602-П59:",'ПО КОРИСНИЦИМА'!$L$16:$L$1823)</f>
        <v>0</v>
      </c>
      <c r="H592" s="249"/>
      <c r="I592" s="287"/>
      <c r="J592" s="192">
        <f t="shared" si="22"/>
        <v>0</v>
      </c>
      <c r="K592" s="192"/>
      <c r="L592" s="298"/>
    </row>
    <row r="593" spans="1:17" hidden="1" x14ac:dyDescent="0.2">
      <c r="A593" s="178"/>
      <c r="B593" s="86" t="s">
        <v>4725</v>
      </c>
      <c r="C593" s="262" t="str">
        <f>IFERROR(VLOOKUP(B593,'ПО КОРИСНИЦИМА'!$C$16:$S$1823,5,FALSE),"")</f>
        <v/>
      </c>
      <c r="D593" s="248">
        <f>SUMIF('ПО КОРИСНИЦИМА'!$G$16:$G$1823,"Свега за пројекат 0602-П60:",'ПО КОРИСНИЦИМА'!$H$16:$H$1823)</f>
        <v>0</v>
      </c>
      <c r="E593" s="248"/>
      <c r="F593" s="280"/>
      <c r="G593" s="249">
        <f>SUMIF('ПО КОРИСНИЦИМА'!$G$16:$G$1823,"Свега за пројекат 0602-П60:",'ПО КОРИСНИЦИМА'!$L$16:$L$1823)</f>
        <v>0</v>
      </c>
      <c r="H593" s="249"/>
      <c r="I593" s="287"/>
      <c r="J593" s="192">
        <f t="shared" si="22"/>
        <v>0</v>
      </c>
      <c r="K593" s="192"/>
      <c r="L593" s="298"/>
    </row>
    <row r="594" spans="1:17" hidden="1" x14ac:dyDescent="0.2">
      <c r="A594" s="178"/>
      <c r="B594" s="86" t="s">
        <v>4726</v>
      </c>
      <c r="C594" s="262" t="str">
        <f>IFERROR(VLOOKUP(B594,'ПО КОРИСНИЦИМА'!$C$16:$S$1823,5,FALSE),"")</f>
        <v/>
      </c>
      <c r="D594" s="248">
        <f>SUMIF('ПО КОРИСНИЦИМА'!$G$16:$G$1823,"Свега за пројекат 0602-П61:",'ПО КОРИСНИЦИМА'!$H$16:$H$1823)</f>
        <v>0</v>
      </c>
      <c r="E594" s="248"/>
      <c r="F594" s="280"/>
      <c r="G594" s="249">
        <f>SUMIF('ПО КОРИСНИЦИМА'!$G$16:$G$1823,"Свега за пројекат 0602-П61:",'ПО КОРИСНИЦИМА'!$L$16:$L$1823)</f>
        <v>0</v>
      </c>
      <c r="H594" s="249"/>
      <c r="I594" s="287"/>
      <c r="J594" s="192">
        <f t="shared" si="22"/>
        <v>0</v>
      </c>
      <c r="K594" s="192"/>
      <c r="L594" s="298"/>
    </row>
    <row r="595" spans="1:17" hidden="1" x14ac:dyDescent="0.2">
      <c r="A595" s="178"/>
      <c r="B595" s="86" t="s">
        <v>4727</v>
      </c>
      <c r="C595" s="262" t="str">
        <f>IFERROR(VLOOKUP(B595,'ПО КОРИСНИЦИМА'!$C$16:$S$1823,5,FALSE),"")</f>
        <v/>
      </c>
      <c r="D595" s="248">
        <f>SUMIF('ПО КОРИСНИЦИМА'!$G$16:$G$1823,"Свега за пројекат 0602-П62:",'ПО КОРИСНИЦИМА'!$H$16:$H$1823)</f>
        <v>0</v>
      </c>
      <c r="E595" s="248"/>
      <c r="F595" s="280"/>
      <c r="G595" s="249">
        <f>SUMIF('ПО КОРИСНИЦИМА'!$G$16:$G$1823,"Свега за пројекат 0602-П62:",'ПО КОРИСНИЦИМА'!$L$16:$L$1823)</f>
        <v>0</v>
      </c>
      <c r="H595" s="249"/>
      <c r="I595" s="287"/>
      <c r="J595" s="192">
        <f t="shared" si="22"/>
        <v>0</v>
      </c>
      <c r="K595" s="192"/>
      <c r="L595" s="298"/>
    </row>
    <row r="596" spans="1:17" hidden="1" x14ac:dyDescent="0.2">
      <c r="A596" s="178"/>
      <c r="B596" s="86" t="s">
        <v>4728</v>
      </c>
      <c r="C596" s="262" t="str">
        <f>IFERROR(VLOOKUP(B596,'ПО КОРИСНИЦИМА'!$C$16:$S$1823,5,FALSE),"")</f>
        <v/>
      </c>
      <c r="D596" s="248">
        <f>SUMIF('ПО КОРИСНИЦИМА'!$G$16:$G$1823,"Свега за пројекат 0602-П63:",'ПО КОРИСНИЦИМА'!$H$16:$H$1823)</f>
        <v>0</v>
      </c>
      <c r="E596" s="248"/>
      <c r="F596" s="280"/>
      <c r="G596" s="249">
        <f>SUMIF('ПО КОРИСНИЦИМА'!$G$16:$G$1823,"Свега за пројекат 0602-П63:",'ПО КОРИСНИЦИМА'!$L$16:$L$1823)</f>
        <v>0</v>
      </c>
      <c r="H596" s="249"/>
      <c r="I596" s="287"/>
      <c r="J596" s="192">
        <f t="shared" si="22"/>
        <v>0</v>
      </c>
      <c r="K596" s="192"/>
      <c r="L596" s="298"/>
    </row>
    <row r="597" spans="1:17" hidden="1" x14ac:dyDescent="0.2">
      <c r="A597" s="178"/>
      <c r="B597" s="86" t="s">
        <v>4729</v>
      </c>
      <c r="C597" s="262" t="str">
        <f>IFERROR(VLOOKUP(B597,'ПО КОРИСНИЦИМА'!$C$16:$S$1823,5,FALSE),"")</f>
        <v/>
      </c>
      <c r="D597" s="248">
        <f>SUMIF('ПО КОРИСНИЦИМА'!$G$16:$G$1823,"Свега за пројекат 0602-П64:",'ПО КОРИСНИЦИМА'!$H$16:$H$1823)</f>
        <v>0</v>
      </c>
      <c r="E597" s="248"/>
      <c r="F597" s="280"/>
      <c r="G597" s="249">
        <f>SUMIF('ПО КОРИСНИЦИМА'!$G$16:$G$1823,"Свега за пројекат 0602-П64:",'ПО КОРИСНИЦИМА'!$L$16:$L$1823)</f>
        <v>0</v>
      </c>
      <c r="H597" s="249"/>
      <c r="I597" s="287"/>
      <c r="J597" s="192">
        <f t="shared" si="22"/>
        <v>0</v>
      </c>
      <c r="K597" s="192"/>
      <c r="L597" s="298"/>
    </row>
    <row r="598" spans="1:17" hidden="1" x14ac:dyDescent="0.2">
      <c r="A598" s="178"/>
      <c r="B598" s="86" t="s">
        <v>4730</v>
      </c>
      <c r="C598" s="262" t="str">
        <f>IFERROR(VLOOKUP(B598,'ПО КОРИСНИЦИМА'!$C$16:$S$1823,5,FALSE),"")</f>
        <v/>
      </c>
      <c r="D598" s="248">
        <f>SUMIF('ПО КОРИСНИЦИМА'!$G$16:$G$1823,"Свега за пројекат 0602-П65:",'ПО КОРИСНИЦИМА'!$H$16:$H$1823)</f>
        <v>0</v>
      </c>
      <c r="E598" s="248"/>
      <c r="F598" s="280"/>
      <c r="G598" s="249">
        <f>SUMIF('ПО КОРИСНИЦИМА'!$G$16:$G$1823,"Свега за пројекат 0602-П65:",'ПО КОРИСНИЦИМА'!$L$16:$L$1823)</f>
        <v>0</v>
      </c>
      <c r="H598" s="249"/>
      <c r="I598" s="287"/>
      <c r="J598" s="192">
        <f t="shared" si="22"/>
        <v>0</v>
      </c>
      <c r="K598" s="192"/>
      <c r="L598" s="298"/>
    </row>
    <row r="599" spans="1:17" hidden="1" x14ac:dyDescent="0.2">
      <c r="A599" s="178"/>
      <c r="B599" s="86" t="s">
        <v>4731</v>
      </c>
      <c r="C599" s="262" t="str">
        <f>IFERROR(VLOOKUP(B599,'ПО КОРИСНИЦИМА'!$C$16:$S$1823,5,FALSE),"")</f>
        <v/>
      </c>
      <c r="D599" s="248">
        <f>SUMIF('ПО КОРИСНИЦИМА'!$G$16:$G$1823,"Свега за пројекат 0602-П66:",'ПО КОРИСНИЦИМА'!$H$16:$H$1823)</f>
        <v>0</v>
      </c>
      <c r="E599" s="248"/>
      <c r="F599" s="280"/>
      <c r="G599" s="249">
        <f>SUMIF('ПО КОРИСНИЦИМА'!$G$16:$G$1823,"Свега за пројекат 0602-П66:",'ПО КОРИСНИЦИМА'!$L$16:$L$1823)</f>
        <v>0</v>
      </c>
      <c r="H599" s="249"/>
      <c r="I599" s="287"/>
      <c r="J599" s="192">
        <f t="shared" si="22"/>
        <v>0</v>
      </c>
      <c r="K599" s="192"/>
      <c r="L599" s="298"/>
    </row>
    <row r="600" spans="1:17" hidden="1" x14ac:dyDescent="0.2">
      <c r="A600" s="178"/>
      <c r="B600" s="86" t="s">
        <v>4732</v>
      </c>
      <c r="C600" s="262" t="str">
        <f>IFERROR(VLOOKUP(B600,'ПО КОРИСНИЦИМА'!$C$16:$S$1823,5,FALSE),"")</f>
        <v/>
      </c>
      <c r="D600" s="248">
        <f>SUMIF('ПО КОРИСНИЦИМА'!$G$16:$G$1823,"Свега за пројекат 0602-П67:",'ПО КОРИСНИЦИМА'!$H$16:$H$1823)</f>
        <v>0</v>
      </c>
      <c r="E600" s="248"/>
      <c r="F600" s="280"/>
      <c r="G600" s="249">
        <f>SUMIF('ПО КОРИСНИЦИМА'!$G$16:$G$1823,"Свега за пројекат 0602-П67:",'ПО КОРИСНИЦИМА'!$L$16:$L$1823)</f>
        <v>0</v>
      </c>
      <c r="H600" s="249"/>
      <c r="I600" s="287"/>
      <c r="J600" s="192">
        <f t="shared" si="22"/>
        <v>0</v>
      </c>
      <c r="K600" s="192"/>
      <c r="L600" s="298"/>
    </row>
    <row r="601" spans="1:17" hidden="1" x14ac:dyDescent="0.2">
      <c r="A601" s="178"/>
      <c r="B601" s="86" t="s">
        <v>4733</v>
      </c>
      <c r="C601" s="262" t="str">
        <f>IFERROR(VLOOKUP(B601,'ПО КОРИСНИЦИМА'!$C$16:$S$1823,5,FALSE),"")</f>
        <v/>
      </c>
      <c r="D601" s="248">
        <f>SUMIF('ПО КОРИСНИЦИМА'!$G$16:$G$1823,"Свега за пројекат 0602-П68:",'ПО КОРИСНИЦИМА'!$H$16:$H$1823)</f>
        <v>0</v>
      </c>
      <c r="E601" s="248"/>
      <c r="F601" s="280"/>
      <c r="G601" s="249">
        <f>SUMIF('ПО КОРИСНИЦИМА'!$G$16:$G$1823,"Свега за пројекат 0602-П68:",'ПО КОРИСНИЦИМА'!$L$16:$L$1823)</f>
        <v>0</v>
      </c>
      <c r="H601" s="249"/>
      <c r="I601" s="287"/>
      <c r="J601" s="192">
        <f t="shared" si="22"/>
        <v>0</v>
      </c>
      <c r="K601" s="192"/>
      <c r="L601" s="298"/>
    </row>
    <row r="602" spans="1:17" hidden="1" x14ac:dyDescent="0.2">
      <c r="A602" s="178"/>
      <c r="B602" s="86" t="s">
        <v>4734</v>
      </c>
      <c r="C602" s="262" t="str">
        <f>IFERROR(VLOOKUP(B602,'ПО КОРИСНИЦИМА'!$C$16:$S$1823,5,FALSE),"")</f>
        <v/>
      </c>
      <c r="D602" s="248">
        <f>SUMIF('ПО КОРИСНИЦИМА'!$G$16:$G$1823,"Свега за пројекат 0602-П69:",'ПО КОРИСНИЦИМА'!$H$16:$H$1823)</f>
        <v>0</v>
      </c>
      <c r="E602" s="248"/>
      <c r="F602" s="280"/>
      <c r="G602" s="249">
        <f>SUMIF('ПО КОРИСНИЦИМА'!$G$16:$G$1823,"Свега за пројекат 0602-П69:",'ПО КОРИСНИЦИМА'!$L$16:$L$1823)</f>
        <v>0</v>
      </c>
      <c r="H602" s="249"/>
      <c r="I602" s="287"/>
      <c r="J602" s="192">
        <f t="shared" si="22"/>
        <v>0</v>
      </c>
      <c r="K602" s="192"/>
      <c r="L602" s="298"/>
    </row>
    <row r="603" spans="1:17" hidden="1" x14ac:dyDescent="0.2">
      <c r="A603" s="393"/>
      <c r="B603" s="86" t="s">
        <v>4735</v>
      </c>
      <c r="C603" s="262" t="str">
        <f>IFERROR(VLOOKUP(B603,'ПО КОРИСНИЦИМА'!$C$16:$S$1823,5,FALSE),"")</f>
        <v/>
      </c>
      <c r="D603" s="248">
        <f>SUMIF('ПО КОРИСНИЦИМА'!$G$16:$G$1823,"Свега за пројекат 0602-П70:",'ПО КОРИСНИЦИМА'!$H$16:$H$1823)</f>
        <v>0</v>
      </c>
      <c r="E603" s="248"/>
      <c r="F603" s="280"/>
      <c r="G603" s="249">
        <f>SUMIF('ПО КОРИСНИЦИМА'!$G$16:$G$1823,"Свега за пројекат 0602-П70:",'ПО КОРИСНИЦИМА'!$L$16:$L$1823)</f>
        <v>0</v>
      </c>
      <c r="H603" s="249"/>
      <c r="I603" s="287"/>
      <c r="J603" s="192">
        <f t="shared" si="22"/>
        <v>0</v>
      </c>
      <c r="K603" s="274"/>
      <c r="L603" s="299"/>
    </row>
    <row r="604" spans="1:17" ht="25.5" x14ac:dyDescent="0.2">
      <c r="A604" s="173" t="s">
        <v>4899</v>
      </c>
      <c r="B604" s="174"/>
      <c r="C604" s="260" t="s">
        <v>4900</v>
      </c>
      <c r="D604" s="242">
        <f>SUM(D605:D610)</f>
        <v>14951758</v>
      </c>
      <c r="E604" s="242">
        <f>SUM(E605:E610)</f>
        <v>8798466.3200000003</v>
      </c>
      <c r="F604" s="282">
        <f t="shared" ref="F604:F611" si="23">E604/D604</f>
        <v>0.58845697743369041</v>
      </c>
      <c r="G604" s="243">
        <f>SUM(G605:G609)</f>
        <v>0</v>
      </c>
      <c r="H604" s="243">
        <f>SUM(H605:H610)</f>
        <v>0</v>
      </c>
      <c r="I604" s="289"/>
      <c r="J604" s="242">
        <f>SUM(J605:J610)</f>
        <v>14951758</v>
      </c>
      <c r="K604" s="275">
        <f>SUM(K605:K609)</f>
        <v>8798466.3200000003</v>
      </c>
      <c r="L604" s="277">
        <f t="shared" ref="L604:L609" si="24">K604/J604</f>
        <v>0.58845697743369041</v>
      </c>
    </row>
    <row r="605" spans="1:17" x14ac:dyDescent="0.2">
      <c r="A605" s="401"/>
      <c r="B605" s="402" t="s">
        <v>4901</v>
      </c>
      <c r="C605" s="394" t="s">
        <v>4902</v>
      </c>
      <c r="D605" s="395">
        <f>SUMIF('ПО КОРИСНИЦИМА'!$G$16:$G$1823,"Свега за програмску активност 2101-0001:",'ПО КОРИСНИЦИМА'!$H$16:$H$1823)</f>
        <v>8080033</v>
      </c>
      <c r="E605" s="395">
        <f>SUMIF('ПО КОРИСНИЦИМА'!$G$16:$G$1823,"Свега за програмску активност 2101-0001:",'ПО КОРИСНИЦИМА'!$I$16:$I$1823)</f>
        <v>4083135.84</v>
      </c>
      <c r="F605" s="396">
        <f t="shared" si="23"/>
        <v>0.50533653018496338</v>
      </c>
      <c r="G605" s="397">
        <f>SUMIF('ПО КОРИСНИЦИМА'!$G$16:$G$1823,"Свега за програмску активност 2101-0001:",'ПО КОРИСНИЦИМА'!$L$16:$L$1823)</f>
        <v>0</v>
      </c>
      <c r="H605" s="397">
        <f>SUMIF('ПО КОРИСНИЦИМА'!$G$16:$G$1823,"Свега за програмску активност 2101-0001:",'ПО КОРИСНИЦИМА'!$M$16:$M$1823)</f>
        <v>0</v>
      </c>
      <c r="I605" s="398"/>
      <c r="J605" s="399">
        <f t="shared" ref="J605:K609" si="25">D605+G605</f>
        <v>8080033</v>
      </c>
      <c r="K605" s="399">
        <f t="shared" si="25"/>
        <v>4083135.84</v>
      </c>
      <c r="L605" s="400">
        <f t="shared" si="24"/>
        <v>0.50533653018496338</v>
      </c>
    </row>
    <row r="606" spans="1:17" x14ac:dyDescent="0.2">
      <c r="A606" s="401"/>
      <c r="B606" s="402" t="s">
        <v>4903</v>
      </c>
      <c r="C606" s="394" t="s">
        <v>4904</v>
      </c>
      <c r="D606" s="395">
        <f>SUMIF('ПО КОРИСНИЦИМА'!$G$16:$G$1823,"Свега за програмску активност 2101-0002:",'ПО КОРИСНИЦИМА'!$H$16:$H$1823)</f>
        <v>6871725</v>
      </c>
      <c r="E606" s="395">
        <f>SUMIF('ПО КОРИСНИЦИМА'!$G$16:$G$1823,"Свега за програмску активност 2101-0002:",'ПО КОРИСНИЦИМА'!$I$16:$I$1823)</f>
        <v>4715330.4800000004</v>
      </c>
      <c r="F606" s="396">
        <f t="shared" si="23"/>
        <v>0.68619312909058505</v>
      </c>
      <c r="G606" s="397">
        <f>SUMIF('ПО КОРИСНИЦИМА'!$G$16:$G$1823,"Свега за програмску активност 2101-0002:",'ПО КОРИСНИЦИМА'!$L$16:$L$1823)</f>
        <v>0</v>
      </c>
      <c r="H606" s="397">
        <f>SUMIF('ПО КОРИСНИЦИМА'!$G$16:$G$1823,"Свега за програмску активност 2101-0002:",'ПО КОРИСНИЦИМА'!$M$16:$M$1823)</f>
        <v>0</v>
      </c>
      <c r="I606" s="398"/>
      <c r="J606" s="399">
        <f t="shared" si="25"/>
        <v>6871725</v>
      </c>
      <c r="K606" s="399">
        <f t="shared" si="25"/>
        <v>4715330.4800000004</v>
      </c>
      <c r="L606" s="400">
        <f t="shared" si="24"/>
        <v>0.68619312909058505</v>
      </c>
    </row>
    <row r="607" spans="1:17" hidden="1" x14ac:dyDescent="0.2">
      <c r="A607" s="401"/>
      <c r="B607" s="402" t="s">
        <v>4907</v>
      </c>
      <c r="C607" s="406" t="s">
        <v>4759</v>
      </c>
      <c r="D607" s="395">
        <f>SUMIF('ПО КОРИСНИЦИМА'!$G$16:$G$1823,"Свега за пројекат 2101-П1:",'ПО КОРИСНИЦИМА'!$H$16:$H$1823)</f>
        <v>0</v>
      </c>
      <c r="E607" s="395">
        <f>SUMIF('ПО КОРИСНИЦИМА'!$G$16:$G$1823,"Свега за пројекат 2101-П1:",'ПО КОРИСНИЦИМА'!$I$16:$I$1823)</f>
        <v>0</v>
      </c>
      <c r="F607" s="396" t="e">
        <f t="shared" si="23"/>
        <v>#DIV/0!</v>
      </c>
      <c r="G607" s="397">
        <f>SUMIF('ПО КОРИСНИЦИМА'!$G$16:$G$1823,"Свега за пројекат 2101-П1:",'ПО КОРИСНИЦИМА'!$L$16:$L$1823)</f>
        <v>0</v>
      </c>
      <c r="H607" s="397">
        <f>SUMIF('ПО КОРИСНИЦИМА'!$G$16:$G$1823,"Свега за пројекат 2101-П1:",'ПО КОРИСНИЦИМА'!$M$16:$M$1823)</f>
        <v>0</v>
      </c>
      <c r="I607" s="398"/>
      <c r="J607" s="399">
        <f t="shared" si="25"/>
        <v>0</v>
      </c>
      <c r="K607" s="399">
        <f t="shared" si="25"/>
        <v>0</v>
      </c>
      <c r="L607" s="400" t="e">
        <f t="shared" si="24"/>
        <v>#DIV/0!</v>
      </c>
      <c r="P607" s="171">
        <v>30500000</v>
      </c>
      <c r="Q607" s="171">
        <v>10</v>
      </c>
    </row>
    <row r="608" spans="1:17" ht="25.5" hidden="1" x14ac:dyDescent="0.2">
      <c r="A608" s="401"/>
      <c r="B608" s="402" t="s">
        <v>4908</v>
      </c>
      <c r="C608" s="406" t="s">
        <v>4760</v>
      </c>
      <c r="D608" s="395">
        <f>SUMIF('ПО КОРИСНИЦИМА'!$G$16:$G$1823,"Свега за пројекат 2101-П2:",'ПО КОРИСНИЦИМА'!$H$16:$H$1823)</f>
        <v>0</v>
      </c>
      <c r="E608" s="395">
        <f>SUMIF('ПО КОРИСНИЦИМА'!$G$16:$G$1823,"Свега за пројекат 2101-П2:",'ПО КОРИСНИЦИМА'!$I$16:$I$1823)</f>
        <v>0</v>
      </c>
      <c r="F608" s="396" t="e">
        <f t="shared" si="23"/>
        <v>#DIV/0!</v>
      </c>
      <c r="G608" s="397">
        <f>SUMIF('ПО КОРИСНИЦИМА'!$G$16:$G$1823,"Свега за пројекат 2101-П2:",'ПО КОРИСНИЦИМА'!$L$16:$L$1823)</f>
        <v>0</v>
      </c>
      <c r="H608" s="397">
        <f>SUMIF('ПО КОРИСНИЦИМА'!$G$16:$G$1823,"Свега за пројекат 2101-П2:",'ПО КОРИСНИЦИМА'!$M$16:$M$1823)</f>
        <v>0</v>
      </c>
      <c r="I608" s="398"/>
      <c r="J608" s="399">
        <f t="shared" si="25"/>
        <v>0</v>
      </c>
      <c r="K608" s="399">
        <f t="shared" si="25"/>
        <v>0</v>
      </c>
      <c r="L608" s="400" t="e">
        <f t="shared" si="24"/>
        <v>#DIV/0!</v>
      </c>
      <c r="P608" s="171">
        <v>7000000</v>
      </c>
      <c r="Q608" s="171">
        <v>13</v>
      </c>
    </row>
    <row r="609" spans="1:17" hidden="1" x14ac:dyDescent="0.2">
      <c r="A609" s="401"/>
      <c r="B609" s="402" t="s">
        <v>4909</v>
      </c>
      <c r="C609" s="406" t="s">
        <v>4761</v>
      </c>
      <c r="D609" s="395">
        <f>SUMIF('ПО КОРИСНИЦИМА'!$G$16:$G$1823,"Свега за пројекат 2101-П3:",'ПО КОРИСНИЦИМА'!$H$16:$H$1823)</f>
        <v>0</v>
      </c>
      <c r="E609" s="395">
        <f>SUMIF('ПО КОРИСНИЦИМА'!$G$16:$G$1823,"Свега за пројекат 2101-П3:",'ПО КОРИСНИЦИМА'!$I$16:$I$1823)</f>
        <v>0</v>
      </c>
      <c r="F609" s="396" t="e">
        <f t="shared" si="23"/>
        <v>#DIV/0!</v>
      </c>
      <c r="G609" s="397">
        <f>SUMIF('ПО КОРИСНИЦИМА'!$G$16:$G$1823,"Свега за пројекат 2101-П3:",'ПО КОРИСНИЦИМА'!$L$16:$L$1823)</f>
        <v>0</v>
      </c>
      <c r="H609" s="397">
        <f>SUMIF('ПО КОРИСНИЦИМА'!$G$16:$G$1823,"Свега за пројекат 2101-П3:",'ПО КОРИСНИЦИМА'!$M$16:$M$1823)</f>
        <v>0</v>
      </c>
      <c r="I609" s="398"/>
      <c r="J609" s="399">
        <f t="shared" si="25"/>
        <v>0</v>
      </c>
      <c r="K609" s="399">
        <f t="shared" si="25"/>
        <v>0</v>
      </c>
      <c r="L609" s="400" t="e">
        <f t="shared" si="24"/>
        <v>#DIV/0!</v>
      </c>
      <c r="P609" s="171">
        <v>10550000</v>
      </c>
      <c r="Q609" s="171">
        <v>7</v>
      </c>
    </row>
    <row r="610" spans="1:17" hidden="1" x14ac:dyDescent="0.2">
      <c r="A610" s="401"/>
      <c r="B610" s="402" t="s">
        <v>5023</v>
      </c>
      <c r="C610" s="406" t="s">
        <v>5024</v>
      </c>
      <c r="D610" s="395">
        <f>SUMIF('ПО КОРИСНИЦИМА'!$G$16:$G$1823,"Свега за пројекат 2101-П4:",'ПО КОРИСНИЦИМА'!$H$16:$H$1823)</f>
        <v>0</v>
      </c>
      <c r="E610" s="395">
        <f>SUMIF('ПО КОРИСНИЦИМА'!$G$16:$G$1823,"Свега за пројекат 2101-П4:",'ПО КОРИСНИЦИМА'!$I$16:$I$1823)</f>
        <v>0</v>
      </c>
      <c r="F610" s="396" t="e">
        <f>E610/D610</f>
        <v>#DIV/0!</v>
      </c>
      <c r="G610" s="397">
        <f>SUMIF('ПО КОРИСНИЦИМА'!$G$16:$G$1823,"Свега за пројекат 2101-П3:",'ПО КОРИСНИЦИМА'!$L$16:$L$1823)</f>
        <v>0</v>
      </c>
      <c r="H610" s="397">
        <f>SUMIF('ПО КОРИСНИЦИМА'!$G$16:$G$1823,"Свега за пројекат 2101-П3:",'ПО КОРИСНИЦИМА'!$M$16:$M$1823)</f>
        <v>0</v>
      </c>
      <c r="I610" s="398"/>
      <c r="J610" s="399">
        <f>D610+G610</f>
        <v>0</v>
      </c>
      <c r="K610" s="399"/>
      <c r="L610" s="400"/>
    </row>
    <row r="611" spans="1:17" hidden="1" x14ac:dyDescent="0.2">
      <c r="A611" s="173" t="s">
        <v>4992</v>
      </c>
      <c r="B611" s="174"/>
      <c r="C611" s="260" t="s">
        <v>4993</v>
      </c>
      <c r="D611" s="242">
        <f>SUM(D612:D615)</f>
        <v>0</v>
      </c>
      <c r="E611" s="242">
        <f>SUM(E612:E615)</f>
        <v>1357200</v>
      </c>
      <c r="F611" s="282" t="e">
        <f t="shared" si="23"/>
        <v>#DIV/0!</v>
      </c>
      <c r="G611" s="243">
        <f>SUM(G612:G615)</f>
        <v>0</v>
      </c>
      <c r="H611" s="243">
        <f>SUM(H612:H615)</f>
        <v>0</v>
      </c>
      <c r="I611" s="289"/>
      <c r="J611" s="242">
        <f>SUM(J612:J615)</f>
        <v>0</v>
      </c>
      <c r="K611" s="404"/>
      <c r="L611" s="405"/>
      <c r="P611" s="171">
        <v>2470000</v>
      </c>
      <c r="Q611" s="171">
        <v>4</v>
      </c>
    </row>
    <row r="612" spans="1:17" ht="38.25" hidden="1" x14ac:dyDescent="0.2">
      <c r="A612" s="401"/>
      <c r="B612" s="402" t="s">
        <v>5167</v>
      </c>
      <c r="C612" s="394" t="s">
        <v>4994</v>
      </c>
      <c r="D612" s="395">
        <f>SUMIF('ПО КОРИСНИЦИМА'!$G$16:$G$1823,"Свега за пројекат 0501-П1:",'ПО КОРИСНИЦИМА'!$H$16:$H$1823)</f>
        <v>0</v>
      </c>
      <c r="E612" s="395">
        <f>SUMIF('ПО КОРИСНИЦИМА'!$G$16:$G$1823,"Свега за пројекат 0501-П1:",'ПО КОРИСНИЦИМА'!$I$16:$I$1823)</f>
        <v>1357200</v>
      </c>
      <c r="F612" s="396" t="e">
        <f>E612/D612</f>
        <v>#DIV/0!</v>
      </c>
      <c r="G612" s="397">
        <f>SUMIF('ПО КОРИСНИЦИМА'!$G$16:$G$1823,"Свега за пројекат 0501-П1:",'ПО КОРИСНИЦИМА'!$L$16:$L$1823)</f>
        <v>0</v>
      </c>
      <c r="H612" s="397">
        <f>SUMIF('ПО КОРИСНИЦИМА'!$G$16:$G$1823,"Свега за пројекат 0501-П1:",'ПО КОРИСНИЦИМА'!$M$16:$M$1823)</f>
        <v>0</v>
      </c>
      <c r="I612" s="398"/>
      <c r="J612" s="399">
        <f>D612+G612</f>
        <v>0</v>
      </c>
      <c r="K612" s="399">
        <f>E612+H612</f>
        <v>1357200</v>
      </c>
      <c r="L612" s="400" t="e">
        <f>K612/J612</f>
        <v>#DIV/0!</v>
      </c>
      <c r="P612" s="171">
        <f>SUM(P607:P611)</f>
        <v>50520000</v>
      </c>
    </row>
    <row r="613" spans="1:17" hidden="1" x14ac:dyDescent="0.2">
      <c r="A613" s="401"/>
      <c r="B613" s="402"/>
      <c r="C613" s="406"/>
      <c r="D613" s="395"/>
      <c r="E613" s="395"/>
      <c r="F613" s="396"/>
      <c r="G613" s="397"/>
      <c r="H613" s="397"/>
      <c r="I613" s="398"/>
      <c r="J613" s="399"/>
      <c r="K613" s="399"/>
      <c r="L613" s="400"/>
    </row>
    <row r="614" spans="1:17" hidden="1" x14ac:dyDescent="0.2">
      <c r="A614" s="401"/>
      <c r="B614" s="402"/>
      <c r="C614" s="406"/>
      <c r="D614" s="395"/>
      <c r="E614" s="395"/>
      <c r="F614" s="396"/>
      <c r="G614" s="397"/>
      <c r="H614" s="397"/>
      <c r="I614" s="398"/>
      <c r="J614" s="399"/>
      <c r="K614" s="399"/>
      <c r="L614" s="400"/>
    </row>
    <row r="615" spans="1:17" hidden="1" x14ac:dyDescent="0.2">
      <c r="A615" s="401"/>
      <c r="B615" s="403"/>
      <c r="C615" s="406"/>
      <c r="D615" s="395"/>
      <c r="E615" s="395"/>
      <c r="F615" s="396"/>
      <c r="G615" s="397"/>
      <c r="H615" s="397"/>
      <c r="I615" s="398" t="e">
        <f>H615/G615</f>
        <v>#DIV/0!</v>
      </c>
      <c r="J615" s="399"/>
      <c r="K615" s="399"/>
      <c r="L615" s="400"/>
    </row>
    <row r="616" spans="1:17" ht="27.75" customHeight="1" x14ac:dyDescent="0.2">
      <c r="A616" s="1156"/>
      <c r="B616" s="1157"/>
      <c r="C616" s="186" t="s">
        <v>4102</v>
      </c>
      <c r="D616" s="256">
        <f>SUM(D523,D469,D415,D382,D344,D312,D280,D248,D195,D174,D156,D129,D99,D40,D12+D604+D611)</f>
        <v>417859748.81</v>
      </c>
      <c r="E616" s="256">
        <f>SUM(E523,E469,E415,E382,E344,E312,E280,E248,E195,E174,E156,E129,E99,E40,E12+E604+E611)</f>
        <v>290430248.31</v>
      </c>
      <c r="F616" s="283">
        <f>E616/D616</f>
        <v>0.69504241348227602</v>
      </c>
      <c r="G616" s="257">
        <f>SUM(G523,G469,G415,G382,G344,G312,G280,G248,G195,G174,G156,G129,G99,G40,G12+G604+G611)</f>
        <v>106675200.67999999</v>
      </c>
      <c r="H616" s="257">
        <f>SUM(H523,H469,H415,H382,H344,H312,H280,H248,H195,H174,H156,H129,H99,H40,H12+H604+H611)</f>
        <v>31017932.510000005</v>
      </c>
      <c r="I616" s="291">
        <f>H616/G616</f>
        <v>0.29076985383928511</v>
      </c>
      <c r="J616" s="256">
        <f t="shared" si="22"/>
        <v>524534949.49000001</v>
      </c>
      <c r="K616" s="256">
        <f>E616+H616</f>
        <v>321448180.81999999</v>
      </c>
      <c r="L616" s="283">
        <f>K616/J616</f>
        <v>0.61282509608280777</v>
      </c>
    </row>
    <row r="617" spans="1:17" hidden="1" x14ac:dyDescent="0.2">
      <c r="D617" s="258">
        <f>D616-'По основ. нам.'!C89</f>
        <v>0</v>
      </c>
      <c r="E617" s="258">
        <f>E616-'По основ. нам.'!D89</f>
        <v>-15350014.899999976</v>
      </c>
      <c r="F617" s="258">
        <f>F616-'По основ. нам.'!E89</f>
        <v>-3.6734849297436312E-2</v>
      </c>
      <c r="G617" s="259">
        <f>G616-'По основ. нам.'!F89</f>
        <v>0</v>
      </c>
      <c r="H617" s="259">
        <f>H616-'По основ. нам.'!G89</f>
        <v>0</v>
      </c>
      <c r="I617" s="292">
        <f>I616-'По основ. нам.'!H89</f>
        <v>0</v>
      </c>
      <c r="J617" s="187">
        <f>J616-'По основ. нам.'!I89</f>
        <v>0</v>
      </c>
      <c r="K617" s="187">
        <f>K616-'По основ. нам.'!J89</f>
        <v>-15350014.899999976</v>
      </c>
      <c r="L617" s="300">
        <f>L616-'По основ. нам.'!K89</f>
        <v>-2.9264046018143586E-2</v>
      </c>
    </row>
    <row r="619" spans="1:17" ht="15" hidden="1" x14ac:dyDescent="0.25">
      <c r="F619" s="1155" t="s">
        <v>5061</v>
      </c>
      <c r="G619" s="1155"/>
      <c r="J619" s="1155" t="s">
        <v>5060</v>
      </c>
      <c r="K619" s="1155"/>
    </row>
    <row r="620" spans="1:17" hidden="1" x14ac:dyDescent="0.2"/>
    <row r="621" spans="1:17" hidden="1" x14ac:dyDescent="0.2">
      <c r="F621" s="555"/>
      <c r="G621" s="556"/>
      <c r="J621" s="555"/>
      <c r="K621" s="555"/>
    </row>
    <row r="622" spans="1:17" hidden="1" x14ac:dyDescent="0.2"/>
    <row r="623" spans="1:17" ht="15" hidden="1" x14ac:dyDescent="0.25">
      <c r="A623" s="1139" t="s">
        <v>5336</v>
      </c>
      <c r="B623" s="1139"/>
      <c r="C623" s="1139"/>
      <c r="D623" s="1139"/>
      <c r="E623" s="1139"/>
      <c r="F623" s="1139"/>
      <c r="G623" s="1139"/>
      <c r="H623" s="1139"/>
      <c r="I623" s="1139"/>
      <c r="J623" s="1139"/>
    </row>
    <row r="624" spans="1:17" ht="15" hidden="1" x14ac:dyDescent="0.25">
      <c r="A624" s="630"/>
      <c r="B624" s="630"/>
      <c r="C624" s="630"/>
      <c r="D624" s="630"/>
      <c r="E624" s="630"/>
      <c r="F624" s="630"/>
      <c r="G624" s="630"/>
      <c r="H624" s="630"/>
      <c r="I624" s="630"/>
      <c r="J624" s="630"/>
    </row>
    <row r="625" spans="1:10" ht="15" hidden="1" x14ac:dyDescent="0.25">
      <c r="A625" s="1139" t="s">
        <v>5337</v>
      </c>
      <c r="B625" s="1139"/>
      <c r="C625" s="1139"/>
      <c r="D625" s="1139"/>
      <c r="E625" s="1139"/>
      <c r="F625" s="1139"/>
      <c r="G625" s="1139"/>
      <c r="H625" s="1139"/>
      <c r="I625" s="1139"/>
      <c r="J625" s="1139"/>
    </row>
    <row r="626" spans="1:10" ht="15" hidden="1" x14ac:dyDescent="0.25">
      <c r="A626" s="1126" t="s">
        <v>5338</v>
      </c>
      <c r="B626" s="1126"/>
      <c r="C626" s="1126"/>
      <c r="D626" s="1126"/>
      <c r="E626" s="1126"/>
      <c r="F626" s="1126"/>
      <c r="G626" s="1126"/>
      <c r="H626" s="1126"/>
      <c r="I626" s="1126"/>
      <c r="J626" s="1126"/>
    </row>
    <row r="627" spans="1:10" ht="15" hidden="1" x14ac:dyDescent="0.25">
      <c r="A627" s="630"/>
      <c r="B627" s="630"/>
      <c r="C627" s="630"/>
      <c r="D627" s="630"/>
      <c r="E627" s="630"/>
      <c r="F627" s="630"/>
      <c r="G627" s="630"/>
      <c r="H627" s="630"/>
      <c r="I627" s="630"/>
      <c r="J627" s="630"/>
    </row>
    <row r="628" spans="1:10" ht="15" hidden="1" x14ac:dyDescent="0.25">
      <c r="A628" s="1139" t="s">
        <v>5339</v>
      </c>
      <c r="B628" s="1139"/>
      <c r="C628" s="1139"/>
      <c r="D628" s="1139"/>
      <c r="E628" s="1139"/>
      <c r="F628" s="1139"/>
      <c r="G628" s="1139"/>
      <c r="H628" s="1139"/>
      <c r="I628" s="1139"/>
      <c r="J628" s="1139"/>
    </row>
    <row r="629" spans="1:10" ht="28.5" hidden="1" customHeight="1" x14ac:dyDescent="0.25">
      <c r="A629" s="1140" t="s">
        <v>5350</v>
      </c>
      <c r="B629" s="1140"/>
      <c r="C629" s="1140"/>
      <c r="D629" s="1140"/>
      <c r="E629" s="1140"/>
      <c r="F629" s="1140"/>
      <c r="G629" s="1140"/>
      <c r="H629" s="1140"/>
      <c r="I629" s="1140"/>
      <c r="J629" s="1140"/>
    </row>
    <row r="630" spans="1:10" ht="15" hidden="1" x14ac:dyDescent="0.25">
      <c r="A630" s="1126" t="s">
        <v>5344</v>
      </c>
      <c r="B630" s="1126"/>
      <c r="C630" s="1126"/>
      <c r="D630" s="1126"/>
      <c r="E630" s="1126"/>
      <c r="F630" s="1126"/>
      <c r="G630" s="1126"/>
      <c r="H630" s="1126"/>
      <c r="I630" s="1126"/>
      <c r="J630" s="1126"/>
    </row>
    <row r="631" spans="1:10" ht="15" hidden="1" x14ac:dyDescent="0.25">
      <c r="A631" s="1126" t="s">
        <v>5340</v>
      </c>
      <c r="B631" s="1126"/>
      <c r="C631" s="1126"/>
      <c r="D631" s="1126"/>
      <c r="E631" s="1126"/>
      <c r="F631" s="1126"/>
      <c r="G631" s="1126"/>
      <c r="H631" s="1126"/>
      <c r="I631" s="1126"/>
      <c r="J631" s="1126"/>
    </row>
    <row r="632" spans="1:10" ht="15" hidden="1" x14ac:dyDescent="0.25">
      <c r="A632" s="630"/>
      <c r="B632" s="630"/>
      <c r="C632" s="630"/>
      <c r="D632" s="630"/>
      <c r="E632" s="630"/>
      <c r="F632" s="630"/>
      <c r="G632" s="630"/>
      <c r="H632" s="630"/>
      <c r="I632" s="630"/>
      <c r="J632" s="630"/>
    </row>
    <row r="633" spans="1:10" ht="28.5" hidden="1" x14ac:dyDescent="0.2">
      <c r="A633" s="640" t="s">
        <v>5341</v>
      </c>
      <c r="B633" s="640" t="s">
        <v>5343</v>
      </c>
      <c r="C633" s="1136" t="s">
        <v>264</v>
      </c>
      <c r="D633" s="1137"/>
      <c r="E633" s="1137"/>
      <c r="F633" s="1137"/>
      <c r="G633" s="1138"/>
      <c r="H633" s="641"/>
      <c r="I633" s="641"/>
      <c r="J633" s="639" t="s">
        <v>5342</v>
      </c>
    </row>
    <row r="634" spans="1:10" ht="15" hidden="1" x14ac:dyDescent="0.25">
      <c r="A634" s="632">
        <v>1</v>
      </c>
      <c r="B634" s="632">
        <v>415</v>
      </c>
      <c r="C634" s="1133" t="s">
        <v>3773</v>
      </c>
      <c r="D634" s="1134"/>
      <c r="E634" s="1134"/>
      <c r="F634" s="1134"/>
      <c r="G634" s="1135"/>
      <c r="H634" s="632"/>
      <c r="I634" s="632"/>
      <c r="J634" s="636">
        <v>3300000</v>
      </c>
    </row>
    <row r="635" spans="1:10" ht="15" hidden="1" x14ac:dyDescent="0.25">
      <c r="A635" s="632">
        <v>2</v>
      </c>
      <c r="B635" s="632">
        <v>416</v>
      </c>
      <c r="C635" s="1133" t="s">
        <v>4125</v>
      </c>
      <c r="D635" s="1134"/>
      <c r="E635" s="1134"/>
      <c r="F635" s="1134"/>
      <c r="G635" s="1135"/>
      <c r="H635" s="632"/>
      <c r="I635" s="632"/>
      <c r="J635" s="636">
        <v>570000</v>
      </c>
    </row>
    <row r="636" spans="1:10" ht="15" hidden="1" x14ac:dyDescent="0.25">
      <c r="A636" s="632">
        <v>3</v>
      </c>
      <c r="B636" s="632">
        <v>421</v>
      </c>
      <c r="C636" s="1133" t="s">
        <v>3781</v>
      </c>
      <c r="D636" s="1134"/>
      <c r="E636" s="1134"/>
      <c r="F636" s="1134"/>
      <c r="G636" s="1135"/>
      <c r="H636" s="632"/>
      <c r="I636" s="632"/>
      <c r="J636" s="636">
        <f>2508000-379350</f>
        <v>2128650</v>
      </c>
    </row>
    <row r="637" spans="1:10" ht="15" hidden="1" x14ac:dyDescent="0.25">
      <c r="A637" s="632">
        <v>4</v>
      </c>
      <c r="B637" s="632">
        <v>422</v>
      </c>
      <c r="C637" s="1133" t="s">
        <v>3782</v>
      </c>
      <c r="D637" s="1134"/>
      <c r="E637" s="1134"/>
      <c r="F637" s="1134"/>
      <c r="G637" s="1135"/>
      <c r="H637" s="632"/>
      <c r="I637" s="632"/>
      <c r="J637" s="636">
        <f>275000-60000</f>
        <v>215000</v>
      </c>
    </row>
    <row r="638" spans="1:10" ht="15" hidden="1" x14ac:dyDescent="0.25">
      <c r="A638" s="632">
        <v>5</v>
      </c>
      <c r="B638" s="632">
        <v>423</v>
      </c>
      <c r="C638" s="1133" t="s">
        <v>3783</v>
      </c>
      <c r="D638" s="1134"/>
      <c r="E638" s="1134"/>
      <c r="F638" s="1134"/>
      <c r="G638" s="1135"/>
      <c r="H638" s="632"/>
      <c r="I638" s="632"/>
      <c r="J638" s="636">
        <f>381000</f>
        <v>381000</v>
      </c>
    </row>
    <row r="639" spans="1:10" ht="15" hidden="1" x14ac:dyDescent="0.25">
      <c r="A639" s="632">
        <v>6</v>
      </c>
      <c r="B639" s="632">
        <v>424</v>
      </c>
      <c r="C639" s="1133" t="s">
        <v>3785</v>
      </c>
      <c r="D639" s="1134"/>
      <c r="E639" s="1134"/>
      <c r="F639" s="1134"/>
      <c r="G639" s="1135"/>
      <c r="H639" s="632"/>
      <c r="I639" s="632"/>
      <c r="J639" s="636">
        <v>120000</v>
      </c>
    </row>
    <row r="640" spans="1:10" ht="15" hidden="1" x14ac:dyDescent="0.25">
      <c r="A640" s="632">
        <v>7</v>
      </c>
      <c r="B640" s="632">
        <v>425</v>
      </c>
      <c r="C640" s="1133" t="s">
        <v>4127</v>
      </c>
      <c r="D640" s="1134"/>
      <c r="E640" s="1134"/>
      <c r="F640" s="1134"/>
      <c r="G640" s="1135"/>
      <c r="H640" s="632"/>
      <c r="I640" s="632"/>
      <c r="J640" s="636">
        <v>146000</v>
      </c>
    </row>
    <row r="641" spans="1:13" ht="15" hidden="1" x14ac:dyDescent="0.25">
      <c r="A641" s="632">
        <v>8</v>
      </c>
      <c r="B641" s="632">
        <v>426</v>
      </c>
      <c r="C641" s="1133" t="s">
        <v>3789</v>
      </c>
      <c r="D641" s="1134"/>
      <c r="E641" s="1134"/>
      <c r="F641" s="1134"/>
      <c r="G641" s="1135"/>
      <c r="H641" s="632"/>
      <c r="I641" s="632"/>
      <c r="J641" s="636">
        <v>440000</v>
      </c>
    </row>
    <row r="642" spans="1:13" ht="15" hidden="1" x14ac:dyDescent="0.25">
      <c r="A642" s="632">
        <v>9</v>
      </c>
      <c r="B642" s="632">
        <v>482</v>
      </c>
      <c r="C642" s="1129" t="s">
        <v>4137</v>
      </c>
      <c r="D642" s="1129"/>
      <c r="E642" s="1129"/>
      <c r="F642" s="1129"/>
      <c r="G642" s="1129"/>
      <c r="H642" s="632"/>
      <c r="I642" s="632"/>
      <c r="J642" s="636">
        <v>260000</v>
      </c>
    </row>
    <row r="643" spans="1:13" ht="15" hidden="1" x14ac:dyDescent="0.25">
      <c r="A643" s="632">
        <v>10</v>
      </c>
      <c r="B643" s="632">
        <v>511</v>
      </c>
      <c r="C643" s="1129" t="s">
        <v>4141</v>
      </c>
      <c r="D643" s="1129"/>
      <c r="E643" s="1129"/>
      <c r="F643" s="1129"/>
      <c r="G643" s="1129"/>
      <c r="H643" s="632"/>
      <c r="I643" s="632"/>
      <c r="J643" s="636">
        <v>1000000</v>
      </c>
      <c r="M643" s="259"/>
    </row>
    <row r="644" spans="1:13" ht="14.25" hidden="1" x14ac:dyDescent="0.2">
      <c r="A644" s="1130" t="s">
        <v>5345</v>
      </c>
      <c r="B644" s="1131"/>
      <c r="C644" s="1131"/>
      <c r="D644" s="1131"/>
      <c r="E644" s="1131"/>
      <c r="F644" s="1131"/>
      <c r="G644" s="1132"/>
      <c r="H644" s="637"/>
      <c r="I644" s="637"/>
      <c r="J644" s="638">
        <f>SUM(J634:J643)</f>
        <v>8560650</v>
      </c>
    </row>
    <row r="645" spans="1:13" hidden="1" x14ac:dyDescent="0.2"/>
    <row r="646" spans="1:13" ht="15" hidden="1" x14ac:dyDescent="0.25">
      <c r="A646" s="1126" t="s">
        <v>5346</v>
      </c>
      <c r="B646" s="1126"/>
      <c r="C646" s="1126"/>
      <c r="D646" s="1126"/>
      <c r="E646" s="1126"/>
      <c r="F646" s="1126"/>
      <c r="G646" s="1126"/>
      <c r="H646" s="1126"/>
      <c r="I646" s="1126"/>
      <c r="J646" s="1126"/>
    </row>
    <row r="647" spans="1:13" ht="15" hidden="1" x14ac:dyDescent="0.25">
      <c r="A647" s="1126" t="s">
        <v>5347</v>
      </c>
      <c r="B647" s="1126"/>
      <c r="C647" s="1126"/>
      <c r="D647" s="1126"/>
      <c r="E647" s="1126"/>
      <c r="F647" s="1126"/>
      <c r="G647" s="1126"/>
      <c r="H647" s="1126"/>
      <c r="I647" s="1126"/>
      <c r="J647" s="1126"/>
    </row>
    <row r="648" spans="1:13" hidden="1" x14ac:dyDescent="0.2"/>
    <row r="649" spans="1:13" ht="28.5" hidden="1" x14ac:dyDescent="0.2">
      <c r="A649" s="640" t="s">
        <v>5341</v>
      </c>
      <c r="B649" s="640" t="s">
        <v>5343</v>
      </c>
      <c r="C649" s="1136" t="s">
        <v>264</v>
      </c>
      <c r="D649" s="1137"/>
      <c r="E649" s="1137"/>
      <c r="F649" s="1137"/>
      <c r="G649" s="1138"/>
      <c r="H649" s="641"/>
      <c r="I649" s="641"/>
      <c r="J649" s="639" t="s">
        <v>5342</v>
      </c>
    </row>
    <row r="650" spans="1:13" ht="15" hidden="1" x14ac:dyDescent="0.25">
      <c r="A650" s="632">
        <v>1</v>
      </c>
      <c r="B650" s="632">
        <v>415</v>
      </c>
      <c r="C650" s="1133" t="s">
        <v>3773</v>
      </c>
      <c r="D650" s="1134"/>
      <c r="E650" s="1134"/>
      <c r="F650" s="1134"/>
      <c r="G650" s="1135"/>
      <c r="H650" s="632"/>
      <c r="I650" s="632"/>
      <c r="J650" s="636">
        <v>2700000</v>
      </c>
    </row>
    <row r="651" spans="1:13" ht="15" hidden="1" x14ac:dyDescent="0.25">
      <c r="A651" s="632">
        <v>2</v>
      </c>
      <c r="B651" s="632">
        <v>416</v>
      </c>
      <c r="C651" s="1133" t="s">
        <v>4125</v>
      </c>
      <c r="D651" s="1134"/>
      <c r="E651" s="1134"/>
      <c r="F651" s="1134"/>
      <c r="G651" s="1135"/>
      <c r="H651" s="632"/>
      <c r="I651" s="632"/>
      <c r="J651" s="636">
        <v>700000</v>
      </c>
    </row>
    <row r="652" spans="1:13" ht="15" hidden="1" x14ac:dyDescent="0.25">
      <c r="A652" s="632">
        <v>3</v>
      </c>
      <c r="B652" s="632">
        <v>421</v>
      </c>
      <c r="C652" s="1133" t="s">
        <v>3781</v>
      </c>
      <c r="D652" s="1134"/>
      <c r="E652" s="1134"/>
      <c r="F652" s="1134"/>
      <c r="G652" s="1135"/>
      <c r="H652" s="632"/>
      <c r="I652" s="632"/>
      <c r="J652" s="636">
        <f>3899700-890000</f>
        <v>3009700</v>
      </c>
    </row>
    <row r="653" spans="1:13" ht="15" hidden="1" x14ac:dyDescent="0.25">
      <c r="A653" s="632">
        <v>4</v>
      </c>
      <c r="B653" s="632">
        <v>422</v>
      </c>
      <c r="C653" s="1133" t="s">
        <v>3782</v>
      </c>
      <c r="D653" s="1134"/>
      <c r="E653" s="1134"/>
      <c r="F653" s="1134"/>
      <c r="G653" s="1135"/>
      <c r="H653" s="632"/>
      <c r="I653" s="632"/>
      <c r="J653" s="636">
        <v>139000</v>
      </c>
    </row>
    <row r="654" spans="1:13" ht="15" hidden="1" x14ac:dyDescent="0.25">
      <c r="A654" s="632">
        <v>5</v>
      </c>
      <c r="B654" s="632">
        <v>423</v>
      </c>
      <c r="C654" s="1133" t="s">
        <v>3783</v>
      </c>
      <c r="D654" s="1134"/>
      <c r="E654" s="1134"/>
      <c r="F654" s="1134"/>
      <c r="G654" s="1135"/>
      <c r="H654" s="632"/>
      <c r="I654" s="632"/>
      <c r="J654" s="636">
        <f>1013000-222500</f>
        <v>790500</v>
      </c>
    </row>
    <row r="655" spans="1:13" ht="15" hidden="1" x14ac:dyDescent="0.25">
      <c r="A655" s="632">
        <v>6</v>
      </c>
      <c r="B655" s="632">
        <v>424</v>
      </c>
      <c r="C655" s="1133" t="s">
        <v>3785</v>
      </c>
      <c r="D655" s="1134"/>
      <c r="E655" s="1134"/>
      <c r="F655" s="1134"/>
      <c r="G655" s="1135"/>
      <c r="H655" s="632"/>
      <c r="I655" s="632"/>
      <c r="J655" s="636">
        <v>70000</v>
      </c>
    </row>
    <row r="656" spans="1:13" ht="15" hidden="1" x14ac:dyDescent="0.25">
      <c r="A656" s="632">
        <v>7</v>
      </c>
      <c r="B656" s="632">
        <v>425</v>
      </c>
      <c r="C656" s="1133" t="s">
        <v>4127</v>
      </c>
      <c r="D656" s="1134"/>
      <c r="E656" s="1134"/>
      <c r="F656" s="1134"/>
      <c r="G656" s="1135"/>
      <c r="H656" s="632"/>
      <c r="I656" s="632"/>
      <c r="J656" s="636">
        <f>418000+350000</f>
        <v>768000</v>
      </c>
    </row>
    <row r="657" spans="1:13" ht="15" hidden="1" x14ac:dyDescent="0.25">
      <c r="A657" s="632">
        <v>8</v>
      </c>
      <c r="B657" s="632">
        <v>426</v>
      </c>
      <c r="C657" s="1133" t="s">
        <v>3789</v>
      </c>
      <c r="D657" s="1134"/>
      <c r="E657" s="1134"/>
      <c r="F657" s="1134"/>
      <c r="G657" s="1135"/>
      <c r="H657" s="632"/>
      <c r="I657" s="632"/>
      <c r="J657" s="636">
        <v>856000</v>
      </c>
    </row>
    <row r="658" spans="1:13" ht="15" hidden="1" x14ac:dyDescent="0.25">
      <c r="A658" s="632">
        <v>9</v>
      </c>
      <c r="B658" s="632">
        <v>444</v>
      </c>
      <c r="C658" s="1129" t="s">
        <v>3802</v>
      </c>
      <c r="D658" s="1129"/>
      <c r="E658" s="1129"/>
      <c r="F658" s="1129"/>
      <c r="G658" s="1129"/>
      <c r="H658" s="632"/>
      <c r="I658" s="632"/>
      <c r="J658" s="636">
        <v>12000</v>
      </c>
    </row>
    <row r="659" spans="1:13" ht="15" hidden="1" x14ac:dyDescent="0.25">
      <c r="A659" s="632">
        <v>10</v>
      </c>
      <c r="B659" s="632">
        <v>482</v>
      </c>
      <c r="C659" s="1129" t="s">
        <v>4137</v>
      </c>
      <c r="D659" s="1129"/>
      <c r="E659" s="1129"/>
      <c r="F659" s="1129"/>
      <c r="G659" s="1129"/>
      <c r="H659" s="632"/>
      <c r="I659" s="632"/>
      <c r="J659" s="636">
        <v>6000</v>
      </c>
    </row>
    <row r="660" spans="1:13" ht="15" hidden="1" x14ac:dyDescent="0.25">
      <c r="A660" s="632">
        <v>11</v>
      </c>
      <c r="B660" s="632">
        <v>485</v>
      </c>
      <c r="C660" s="1133" t="s">
        <v>5348</v>
      </c>
      <c r="D660" s="1134"/>
      <c r="E660" s="1134"/>
      <c r="F660" s="1134"/>
      <c r="G660" s="1135"/>
      <c r="H660" s="632"/>
      <c r="I660" s="632"/>
      <c r="J660" s="636">
        <v>20000</v>
      </c>
      <c r="M660" s="259"/>
    </row>
    <row r="661" spans="1:13" ht="15" hidden="1" x14ac:dyDescent="0.25">
      <c r="A661" s="632">
        <v>12</v>
      </c>
      <c r="B661" s="632">
        <v>511</v>
      </c>
      <c r="C661" s="1133" t="s">
        <v>4141</v>
      </c>
      <c r="D661" s="1134"/>
      <c r="E661" s="1134"/>
      <c r="F661" s="1134"/>
      <c r="G661" s="1135"/>
      <c r="H661" s="632"/>
      <c r="I661" s="632"/>
      <c r="J661" s="636">
        <v>1075000</v>
      </c>
    </row>
    <row r="662" spans="1:13" ht="15" hidden="1" x14ac:dyDescent="0.25">
      <c r="A662" s="632">
        <v>13</v>
      </c>
      <c r="B662" s="632">
        <v>512</v>
      </c>
      <c r="C662" s="633" t="s">
        <v>4142</v>
      </c>
      <c r="D662" s="634"/>
      <c r="E662" s="634"/>
      <c r="F662" s="634"/>
      <c r="G662" s="635"/>
      <c r="H662" s="632"/>
      <c r="I662" s="632"/>
      <c r="J662" s="636">
        <v>83300</v>
      </c>
    </row>
    <row r="663" spans="1:13" ht="15" hidden="1" x14ac:dyDescent="0.25">
      <c r="A663" s="632">
        <v>14</v>
      </c>
      <c r="B663" s="632">
        <v>515</v>
      </c>
      <c r="C663" s="633" t="s">
        <v>3836</v>
      </c>
      <c r="D663" s="634"/>
      <c r="E663" s="634"/>
      <c r="F663" s="634"/>
      <c r="G663" s="635"/>
      <c r="H663" s="632"/>
      <c r="I663" s="632"/>
      <c r="J663" s="636">
        <v>8000</v>
      </c>
    </row>
    <row r="664" spans="1:13" ht="15" hidden="1" x14ac:dyDescent="0.25">
      <c r="A664" s="1160" t="s">
        <v>5349</v>
      </c>
      <c r="B664" s="1160"/>
      <c r="C664" s="1160"/>
      <c r="D664" s="1160"/>
      <c r="E664" s="1160"/>
      <c r="F664" s="1160"/>
      <c r="G664" s="1160"/>
      <c r="H664" s="632"/>
      <c r="I664" s="632"/>
      <c r="J664" s="642">
        <f>SUM(J650:J663)</f>
        <v>10237500</v>
      </c>
    </row>
    <row r="665" spans="1:13" hidden="1" x14ac:dyDescent="0.2"/>
    <row r="666" spans="1:13" ht="15" hidden="1" x14ac:dyDescent="0.25">
      <c r="A666" s="1126" t="s">
        <v>5365</v>
      </c>
      <c r="B666" s="1126"/>
      <c r="C666" s="1126"/>
      <c r="D666" s="1126"/>
      <c r="E666" s="1126"/>
      <c r="F666" s="1126"/>
      <c r="G666" s="1126"/>
      <c r="H666" s="1126"/>
      <c r="I666" s="1126"/>
      <c r="J666" s="1126"/>
    </row>
    <row r="667" spans="1:13" ht="15" hidden="1" x14ac:dyDescent="0.25">
      <c r="A667" s="1126" t="s">
        <v>5354</v>
      </c>
      <c r="B667" s="1126"/>
      <c r="C667" s="1126"/>
      <c r="D667" s="1126"/>
      <c r="E667" s="1126"/>
      <c r="F667" s="1126"/>
      <c r="G667" s="1126"/>
      <c r="H667" s="1126"/>
      <c r="I667" s="1126"/>
      <c r="J667" s="1126"/>
    </row>
    <row r="668" spans="1:13" ht="15" hidden="1" x14ac:dyDescent="0.25">
      <c r="A668" s="84" t="s">
        <v>5353</v>
      </c>
    </row>
    <row r="669" spans="1:13" ht="15" hidden="1" x14ac:dyDescent="0.25">
      <c r="A669" s="84" t="s">
        <v>5351</v>
      </c>
    </row>
    <row r="670" spans="1:13" hidden="1" x14ac:dyDescent="0.2"/>
    <row r="671" spans="1:13" ht="28.5" hidden="1" x14ac:dyDescent="0.2">
      <c r="A671" s="640" t="s">
        <v>5341</v>
      </c>
      <c r="B671" s="640" t="s">
        <v>5343</v>
      </c>
      <c r="C671" s="1136" t="s">
        <v>264</v>
      </c>
      <c r="D671" s="1137"/>
      <c r="E671" s="1137"/>
      <c r="F671" s="1137"/>
      <c r="G671" s="1138"/>
      <c r="H671" s="641"/>
      <c r="I671" s="641"/>
      <c r="J671" s="639" t="s">
        <v>5342</v>
      </c>
    </row>
    <row r="672" spans="1:13" ht="15" hidden="1" x14ac:dyDescent="0.25">
      <c r="A672" s="632">
        <v>1</v>
      </c>
      <c r="B672" s="632">
        <v>411</v>
      </c>
      <c r="C672" s="1133" t="s">
        <v>4114</v>
      </c>
      <c r="D672" s="1134"/>
      <c r="E672" s="1134"/>
      <c r="F672" s="1134"/>
      <c r="G672" s="1135"/>
      <c r="H672" s="632"/>
      <c r="I672" s="632"/>
      <c r="J672" s="636">
        <v>4750000</v>
      </c>
    </row>
    <row r="673" spans="1:10" ht="15" hidden="1" x14ac:dyDescent="0.25">
      <c r="A673" s="632">
        <v>2</v>
      </c>
      <c r="B673" s="632">
        <v>412</v>
      </c>
      <c r="C673" s="1133" t="s">
        <v>3768</v>
      </c>
      <c r="D673" s="1134"/>
      <c r="E673" s="1134"/>
      <c r="F673" s="1134"/>
      <c r="G673" s="1135"/>
      <c r="H673" s="632"/>
      <c r="I673" s="632"/>
      <c r="J673" s="636">
        <v>850000</v>
      </c>
    </row>
    <row r="674" spans="1:10" ht="15" hidden="1" x14ac:dyDescent="0.25">
      <c r="A674" s="632">
        <v>3</v>
      </c>
      <c r="B674" s="632">
        <v>415</v>
      </c>
      <c r="C674" s="1133" t="s">
        <v>4124</v>
      </c>
      <c r="D674" s="1134"/>
      <c r="E674" s="1134"/>
      <c r="F674" s="1134"/>
      <c r="G674" s="1135"/>
      <c r="H674" s="632"/>
      <c r="I674" s="632"/>
      <c r="J674" s="636">
        <v>400000</v>
      </c>
    </row>
    <row r="675" spans="1:10" ht="15" hidden="1" x14ac:dyDescent="0.25">
      <c r="A675" s="632">
        <v>4</v>
      </c>
      <c r="B675" s="632">
        <v>421</v>
      </c>
      <c r="C675" s="1133" t="s">
        <v>3781</v>
      </c>
      <c r="D675" s="1134"/>
      <c r="E675" s="1134"/>
      <c r="F675" s="1134"/>
      <c r="G675" s="1135"/>
      <c r="H675" s="632"/>
      <c r="I675" s="632"/>
      <c r="J675" s="636">
        <v>280000</v>
      </c>
    </row>
    <row r="676" spans="1:10" ht="15" hidden="1" x14ac:dyDescent="0.25">
      <c r="A676" s="632">
        <v>5</v>
      </c>
      <c r="B676" s="632">
        <v>423</v>
      </c>
      <c r="C676" s="1133" t="s">
        <v>3783</v>
      </c>
      <c r="D676" s="1134"/>
      <c r="E676" s="1134"/>
      <c r="F676" s="1134"/>
      <c r="G676" s="1135"/>
      <c r="H676" s="632"/>
      <c r="I676" s="632"/>
      <c r="J676" s="636">
        <v>1000000</v>
      </c>
    </row>
    <row r="677" spans="1:10" ht="13.5" hidden="1" customHeight="1" x14ac:dyDescent="0.25">
      <c r="A677" s="632">
        <v>6</v>
      </c>
      <c r="B677" s="632">
        <v>483</v>
      </c>
      <c r="C677" s="1161" t="s">
        <v>4138</v>
      </c>
      <c r="D677" s="1161"/>
      <c r="E677" s="1161"/>
      <c r="F677" s="1161"/>
      <c r="G677" s="1161"/>
      <c r="H677" s="644"/>
      <c r="I677" s="645"/>
      <c r="J677" s="646">
        <v>1560000</v>
      </c>
    </row>
    <row r="678" spans="1:10" ht="15" hidden="1" x14ac:dyDescent="0.25">
      <c r="A678" s="632">
        <v>7</v>
      </c>
      <c r="B678" s="632">
        <v>512</v>
      </c>
      <c r="C678" s="1161" t="s">
        <v>4142</v>
      </c>
      <c r="D678" s="1161"/>
      <c r="E678" s="1161"/>
      <c r="F678" s="1161"/>
      <c r="G678" s="1161"/>
      <c r="H678" s="644"/>
      <c r="I678" s="645"/>
      <c r="J678" s="646">
        <v>3860000</v>
      </c>
    </row>
    <row r="679" spans="1:10" ht="15" hidden="1" x14ac:dyDescent="0.25">
      <c r="A679" s="632">
        <v>8</v>
      </c>
      <c r="B679" s="632">
        <v>541</v>
      </c>
      <c r="C679" s="1161" t="s">
        <v>4147</v>
      </c>
      <c r="D679" s="1161"/>
      <c r="E679" s="1161"/>
      <c r="F679" s="1161"/>
      <c r="G679" s="1161"/>
      <c r="H679" s="647"/>
      <c r="I679" s="648"/>
      <c r="J679" s="649">
        <v>1300000</v>
      </c>
    </row>
    <row r="680" spans="1:10" ht="14.25" hidden="1" x14ac:dyDescent="0.2">
      <c r="A680" s="1130" t="s">
        <v>5352</v>
      </c>
      <c r="B680" s="1131"/>
      <c r="C680" s="1131"/>
      <c r="D680" s="1131"/>
      <c r="E680" s="1131"/>
      <c r="F680" s="1131"/>
      <c r="G680" s="1132"/>
      <c r="H680" s="650"/>
      <c r="I680" s="651"/>
      <c r="J680" s="652">
        <f>SUM(J672:J679)</f>
        <v>14000000</v>
      </c>
    </row>
    <row r="681" spans="1:10" hidden="1" x14ac:dyDescent="0.2"/>
    <row r="682" spans="1:10" ht="15" hidden="1" x14ac:dyDescent="0.25">
      <c r="A682" s="1126" t="s">
        <v>5355</v>
      </c>
      <c r="B682" s="1126"/>
      <c r="C682" s="1126"/>
      <c r="D682" s="1126"/>
      <c r="E682" s="1126"/>
      <c r="F682" s="1126"/>
      <c r="G682" s="1126"/>
      <c r="H682" s="1126"/>
      <c r="I682" s="1126"/>
      <c r="J682" s="1126"/>
    </row>
    <row r="683" spans="1:10" ht="15" hidden="1" x14ac:dyDescent="0.25">
      <c r="A683" s="1126" t="s">
        <v>5356</v>
      </c>
      <c r="B683" s="1126"/>
      <c r="C683" s="1126"/>
      <c r="D683" s="1126"/>
      <c r="E683" s="1126"/>
      <c r="F683" s="1126"/>
      <c r="G683" s="1126"/>
      <c r="H683" s="1126"/>
      <c r="I683" s="1126"/>
      <c r="J683" s="1126"/>
    </row>
    <row r="684" spans="1:10" ht="15" hidden="1" x14ac:dyDescent="0.25">
      <c r="A684" s="360" t="s">
        <v>5357</v>
      </c>
      <c r="B684" s="360"/>
      <c r="C684" s="360"/>
      <c r="D684" s="360"/>
      <c r="E684" s="360"/>
      <c r="F684" s="360"/>
      <c r="G684" s="360"/>
      <c r="H684" s="360"/>
      <c r="I684" s="360"/>
      <c r="J684" s="360"/>
    </row>
    <row r="685" spans="1:10" ht="15" hidden="1" x14ac:dyDescent="0.25">
      <c r="A685" s="84" t="s">
        <v>5358</v>
      </c>
      <c r="B685" s="84"/>
      <c r="C685" s="631"/>
      <c r="D685" s="643"/>
      <c r="E685" s="643"/>
      <c r="F685" s="643"/>
      <c r="G685" s="203"/>
      <c r="H685" s="203"/>
      <c r="I685" s="236"/>
      <c r="J685" s="643"/>
    </row>
    <row r="686" spans="1:10" ht="15" hidden="1" x14ac:dyDescent="0.25">
      <c r="A686" s="84"/>
      <c r="B686" s="84"/>
      <c r="C686" s="631"/>
      <c r="D686" s="643"/>
      <c r="E686" s="643"/>
      <c r="F686" s="643"/>
      <c r="G686" s="203"/>
      <c r="H686" s="203"/>
      <c r="I686" s="236"/>
      <c r="J686" s="643"/>
    </row>
    <row r="687" spans="1:10" ht="28.5" hidden="1" x14ac:dyDescent="0.2">
      <c r="A687" s="640" t="s">
        <v>5341</v>
      </c>
      <c r="B687" s="640" t="s">
        <v>5343</v>
      </c>
      <c r="C687" s="1136" t="s">
        <v>264</v>
      </c>
      <c r="D687" s="1137"/>
      <c r="E687" s="1137"/>
      <c r="F687" s="1137"/>
      <c r="G687" s="1138"/>
      <c r="H687" s="641"/>
      <c r="I687" s="641"/>
      <c r="J687" s="639" t="s">
        <v>5342</v>
      </c>
    </row>
    <row r="688" spans="1:10" ht="15" hidden="1" x14ac:dyDescent="0.25">
      <c r="A688" s="632">
        <v>1</v>
      </c>
      <c r="B688" s="632">
        <v>411</v>
      </c>
      <c r="C688" s="1133" t="s">
        <v>4114</v>
      </c>
      <c r="D688" s="1134"/>
      <c r="E688" s="1134"/>
      <c r="F688" s="1134"/>
      <c r="G688" s="1135"/>
      <c r="H688" s="632"/>
      <c r="I688" s="632"/>
      <c r="J688" s="636">
        <v>1950000</v>
      </c>
    </row>
    <row r="689" spans="1:10" ht="15" hidden="1" x14ac:dyDescent="0.25">
      <c r="A689" s="632">
        <v>2</v>
      </c>
      <c r="B689" s="632">
        <v>415</v>
      </c>
      <c r="C689" s="1133" t="s">
        <v>4124</v>
      </c>
      <c r="D689" s="1134"/>
      <c r="E689" s="1134"/>
      <c r="F689" s="1134"/>
      <c r="G689" s="1135"/>
      <c r="H689" s="632"/>
      <c r="I689" s="632"/>
      <c r="J689" s="636">
        <v>390000</v>
      </c>
    </row>
    <row r="690" spans="1:10" ht="15" hidden="1" x14ac:dyDescent="0.25">
      <c r="A690" s="632">
        <v>3</v>
      </c>
      <c r="B690" s="632">
        <v>416</v>
      </c>
      <c r="C690" s="1133" t="s">
        <v>4125</v>
      </c>
      <c r="D690" s="1134"/>
      <c r="E690" s="1134"/>
      <c r="F690" s="1134"/>
      <c r="G690" s="1135"/>
      <c r="H690" s="632"/>
      <c r="I690" s="632"/>
      <c r="J690" s="636">
        <v>100000</v>
      </c>
    </row>
    <row r="691" spans="1:10" ht="15" hidden="1" x14ac:dyDescent="0.25">
      <c r="A691" s="632">
        <v>4</v>
      </c>
      <c r="B691" s="632">
        <v>421</v>
      </c>
      <c r="C691" s="1133" t="s">
        <v>3781</v>
      </c>
      <c r="D691" s="1134"/>
      <c r="E691" s="1134"/>
      <c r="F691" s="1134"/>
      <c r="G691" s="1135"/>
      <c r="H691" s="632"/>
      <c r="I691" s="632"/>
      <c r="J691" s="636">
        <v>350000</v>
      </c>
    </row>
    <row r="692" spans="1:10" ht="15" hidden="1" x14ac:dyDescent="0.25">
      <c r="A692" s="632">
        <v>5</v>
      </c>
      <c r="B692" s="632">
        <v>422</v>
      </c>
      <c r="C692" s="1133" t="s">
        <v>3782</v>
      </c>
      <c r="D692" s="1134"/>
      <c r="E692" s="1134"/>
      <c r="F692" s="1134"/>
      <c r="G692" s="1135"/>
      <c r="H692" s="632"/>
      <c r="I692" s="632"/>
      <c r="J692" s="636">
        <v>100000</v>
      </c>
    </row>
    <row r="693" spans="1:10" ht="15" hidden="1" x14ac:dyDescent="0.25">
      <c r="A693" s="632">
        <v>6</v>
      </c>
      <c r="B693" s="632">
        <v>423</v>
      </c>
      <c r="C693" s="1133" t="s">
        <v>3783</v>
      </c>
      <c r="D693" s="1134"/>
      <c r="E693" s="1134"/>
      <c r="F693" s="1134"/>
      <c r="G693" s="1135"/>
      <c r="H693" s="632"/>
      <c r="I693" s="632"/>
      <c r="J693" s="636">
        <v>300000</v>
      </c>
    </row>
    <row r="694" spans="1:10" ht="15" hidden="1" x14ac:dyDescent="0.25">
      <c r="A694" s="632">
        <v>7</v>
      </c>
      <c r="B694" s="632">
        <v>425</v>
      </c>
      <c r="C694" s="1133" t="s">
        <v>4127</v>
      </c>
      <c r="D694" s="1134"/>
      <c r="E694" s="1134"/>
      <c r="F694" s="1134"/>
      <c r="G694" s="1135"/>
      <c r="H694" s="632"/>
      <c r="I694" s="632"/>
      <c r="J694" s="636">
        <v>300000</v>
      </c>
    </row>
    <row r="695" spans="1:10" ht="15" hidden="1" x14ac:dyDescent="0.25">
      <c r="A695" s="632">
        <v>8</v>
      </c>
      <c r="B695" s="632">
        <v>426</v>
      </c>
      <c r="C695" s="1133" t="s">
        <v>3789</v>
      </c>
      <c r="D695" s="1134"/>
      <c r="E695" s="1134"/>
      <c r="F695" s="1134"/>
      <c r="G695" s="1135"/>
      <c r="H695" s="632"/>
      <c r="I695" s="632"/>
      <c r="J695" s="636">
        <v>670000</v>
      </c>
    </row>
    <row r="696" spans="1:10" ht="15" hidden="1" x14ac:dyDescent="0.25">
      <c r="A696" s="632">
        <v>9</v>
      </c>
      <c r="B696" s="632">
        <v>472</v>
      </c>
      <c r="C696" s="1129" t="s">
        <v>3817</v>
      </c>
      <c r="D696" s="1129"/>
      <c r="E696" s="1129"/>
      <c r="F696" s="1129"/>
      <c r="G696" s="1129"/>
      <c r="H696" s="632"/>
      <c r="I696" s="632"/>
      <c r="J696" s="636">
        <v>5800000</v>
      </c>
    </row>
    <row r="697" spans="1:10" ht="15" hidden="1" x14ac:dyDescent="0.25">
      <c r="A697" s="632">
        <v>10</v>
      </c>
      <c r="B697" s="632">
        <v>482</v>
      </c>
      <c r="C697" s="1129" t="s">
        <v>4137</v>
      </c>
      <c r="D697" s="1129"/>
      <c r="E697" s="1129"/>
      <c r="F697" s="1129"/>
      <c r="G697" s="1129"/>
      <c r="H697" s="632"/>
      <c r="I697" s="632"/>
      <c r="J697" s="636">
        <v>40000</v>
      </c>
    </row>
    <row r="698" spans="1:10" ht="15" hidden="1" x14ac:dyDescent="0.25">
      <c r="A698" s="1130" t="s">
        <v>5359</v>
      </c>
      <c r="B698" s="1131"/>
      <c r="C698" s="1131"/>
      <c r="D698" s="1131"/>
      <c r="E698" s="1131"/>
      <c r="F698" s="1131"/>
      <c r="G698" s="1132"/>
      <c r="H698" s="647"/>
      <c r="I698" s="648"/>
      <c r="J698" s="652">
        <f>SUM(J688:J697)</f>
        <v>10000000</v>
      </c>
    </row>
    <row r="699" spans="1:10" hidden="1" x14ac:dyDescent="0.2"/>
    <row r="700" spans="1:10" ht="15" hidden="1" x14ac:dyDescent="0.25">
      <c r="A700" s="1126" t="s">
        <v>5360</v>
      </c>
      <c r="B700" s="1126"/>
      <c r="C700" s="1126"/>
      <c r="D700" s="1126"/>
      <c r="E700" s="1126"/>
      <c r="F700" s="1126"/>
      <c r="G700" s="1126"/>
      <c r="H700" s="1126"/>
      <c r="I700" s="1126"/>
      <c r="J700" s="1126"/>
    </row>
    <row r="701" spans="1:10" ht="14.25" hidden="1" customHeight="1" x14ac:dyDescent="0.25">
      <c r="A701" s="1140" t="s">
        <v>5361</v>
      </c>
      <c r="B701" s="1140"/>
      <c r="C701" s="1140"/>
      <c r="D701" s="1140"/>
      <c r="E701" s="1140"/>
      <c r="F701" s="1140"/>
      <c r="G701" s="1140"/>
      <c r="H701" s="1140"/>
      <c r="I701" s="1140"/>
      <c r="J701" s="1140"/>
    </row>
    <row r="702" spans="1:10" ht="15" hidden="1" x14ac:dyDescent="0.25">
      <c r="A702" s="84" t="s">
        <v>5362</v>
      </c>
    </row>
    <row r="703" spans="1:10" ht="15" hidden="1" x14ac:dyDescent="0.25">
      <c r="A703" s="84" t="s">
        <v>5363</v>
      </c>
    </row>
    <row r="704" spans="1:10" hidden="1" x14ac:dyDescent="0.2"/>
    <row r="705" spans="1:10" ht="28.5" hidden="1" x14ac:dyDescent="0.2">
      <c r="A705" s="640" t="s">
        <v>5341</v>
      </c>
      <c r="B705" s="640" t="s">
        <v>5343</v>
      </c>
      <c r="C705" s="1136" t="s">
        <v>264</v>
      </c>
      <c r="D705" s="1137"/>
      <c r="E705" s="1137"/>
      <c r="F705" s="1137"/>
      <c r="G705" s="1138"/>
      <c r="H705" s="641"/>
      <c r="I705" s="641"/>
      <c r="J705" s="639" t="s">
        <v>5342</v>
      </c>
    </row>
    <row r="706" spans="1:10" ht="15" hidden="1" x14ac:dyDescent="0.2">
      <c r="A706" s="163">
        <v>1</v>
      </c>
      <c r="B706" s="163">
        <v>414</v>
      </c>
      <c r="C706" s="1162" t="s">
        <v>3771</v>
      </c>
      <c r="D706" s="1163"/>
      <c r="E706" s="1163"/>
      <c r="F706" s="1163"/>
      <c r="G706" s="1164"/>
      <c r="H706" s="654"/>
      <c r="I706" s="654"/>
      <c r="J706" s="655">
        <v>150000</v>
      </c>
    </row>
    <row r="707" spans="1:10" ht="15" hidden="1" x14ac:dyDescent="0.25">
      <c r="A707" s="632">
        <v>2</v>
      </c>
      <c r="B707" s="632">
        <v>415</v>
      </c>
      <c r="C707" s="1133" t="s">
        <v>3773</v>
      </c>
      <c r="D707" s="1134"/>
      <c r="E707" s="1134"/>
      <c r="F707" s="1134"/>
      <c r="G707" s="1135"/>
      <c r="H707" s="632"/>
      <c r="I707" s="632"/>
      <c r="J707" s="656">
        <v>1650000</v>
      </c>
    </row>
    <row r="708" spans="1:10" ht="15" hidden="1" x14ac:dyDescent="0.25">
      <c r="A708" s="632">
        <v>3</v>
      </c>
      <c r="B708" s="632">
        <v>416</v>
      </c>
      <c r="C708" s="1133" t="s">
        <v>4125</v>
      </c>
      <c r="D708" s="1134"/>
      <c r="E708" s="1134"/>
      <c r="F708" s="1134"/>
      <c r="G708" s="1135"/>
      <c r="H708" s="632"/>
      <c r="I708" s="632"/>
      <c r="J708" s="656">
        <v>900000</v>
      </c>
    </row>
    <row r="709" spans="1:10" ht="15" hidden="1" x14ac:dyDescent="0.25">
      <c r="A709" s="163">
        <v>4</v>
      </c>
      <c r="B709" s="632">
        <v>421</v>
      </c>
      <c r="C709" s="1133" t="s">
        <v>3781</v>
      </c>
      <c r="D709" s="1134"/>
      <c r="E709" s="1134"/>
      <c r="F709" s="1134"/>
      <c r="G709" s="1135"/>
      <c r="H709" s="632"/>
      <c r="I709" s="632"/>
      <c r="J709" s="656">
        <f>3125000-1200000</f>
        <v>1925000</v>
      </c>
    </row>
    <row r="710" spans="1:10" ht="15" hidden="1" x14ac:dyDescent="0.25">
      <c r="A710" s="632">
        <v>5</v>
      </c>
      <c r="B710" s="632">
        <v>422</v>
      </c>
      <c r="C710" s="1133" t="s">
        <v>3782</v>
      </c>
      <c r="D710" s="1134"/>
      <c r="E710" s="1134"/>
      <c r="F710" s="1134"/>
      <c r="G710" s="1135"/>
      <c r="H710" s="632"/>
      <c r="I710" s="632"/>
      <c r="J710" s="656">
        <v>60000</v>
      </c>
    </row>
    <row r="711" spans="1:10" ht="15" hidden="1" x14ac:dyDescent="0.25">
      <c r="A711" s="632">
        <v>6</v>
      </c>
      <c r="B711" s="632">
        <v>423</v>
      </c>
      <c r="C711" s="1133" t="s">
        <v>3783</v>
      </c>
      <c r="D711" s="1134"/>
      <c r="E711" s="1134"/>
      <c r="F711" s="1134"/>
      <c r="G711" s="1135"/>
      <c r="H711" s="632"/>
      <c r="I711" s="632"/>
      <c r="J711" s="656">
        <v>55000</v>
      </c>
    </row>
    <row r="712" spans="1:10" ht="15" hidden="1" x14ac:dyDescent="0.25">
      <c r="A712" s="632">
        <v>7</v>
      </c>
      <c r="B712" s="632">
        <v>425</v>
      </c>
      <c r="C712" s="1133" t="s">
        <v>4127</v>
      </c>
      <c r="D712" s="1134"/>
      <c r="E712" s="1134"/>
      <c r="F712" s="1134"/>
      <c r="G712" s="1135"/>
      <c r="H712" s="632"/>
      <c r="I712" s="632"/>
      <c r="J712" s="636">
        <v>476000</v>
      </c>
    </row>
    <row r="713" spans="1:10" ht="15" hidden="1" x14ac:dyDescent="0.25">
      <c r="A713" s="632">
        <v>8</v>
      </c>
      <c r="B713" s="632">
        <v>426</v>
      </c>
      <c r="C713" s="1133" t="s">
        <v>3789</v>
      </c>
      <c r="D713" s="1134"/>
      <c r="E713" s="1134"/>
      <c r="F713" s="1134"/>
      <c r="G713" s="1135"/>
      <c r="H713" s="632"/>
      <c r="I713" s="632"/>
      <c r="J713" s="636">
        <v>53500</v>
      </c>
    </row>
    <row r="714" spans="1:10" ht="15" hidden="1" x14ac:dyDescent="0.25">
      <c r="A714" s="632">
        <v>9</v>
      </c>
      <c r="B714" s="632">
        <v>512</v>
      </c>
      <c r="C714" s="1161" t="s">
        <v>4142</v>
      </c>
      <c r="D714" s="1161"/>
      <c r="E714" s="1161"/>
      <c r="F714" s="1161"/>
      <c r="G714" s="1161"/>
      <c r="H714" s="644"/>
      <c r="I714" s="645"/>
      <c r="J714" s="646">
        <v>230500</v>
      </c>
    </row>
    <row r="715" spans="1:10" ht="15" hidden="1" x14ac:dyDescent="0.25">
      <c r="A715" s="1130" t="s">
        <v>5364</v>
      </c>
      <c r="B715" s="1131"/>
      <c r="C715" s="1131"/>
      <c r="D715" s="1131"/>
      <c r="E715" s="1131"/>
      <c r="F715" s="1131"/>
      <c r="G715" s="1132"/>
      <c r="J715" s="649">
        <f>SUM(J706:J714)</f>
        <v>5500000</v>
      </c>
    </row>
    <row r="717" spans="1:10" ht="15" x14ac:dyDescent="0.25">
      <c r="A717" s="1139" t="s">
        <v>5522</v>
      </c>
      <c r="B717" s="1139"/>
      <c r="C717" s="1139"/>
      <c r="D717" s="1139"/>
      <c r="E717" s="1139"/>
      <c r="F717" s="1139"/>
      <c r="G717" s="1139"/>
      <c r="H717" s="1139"/>
      <c r="I717" s="1139"/>
      <c r="J717" s="1139"/>
    </row>
    <row r="718" spans="1:10" x14ac:dyDescent="0.2">
      <c r="A718" s="653"/>
      <c r="B718" s="653"/>
      <c r="C718" s="653"/>
      <c r="D718" s="653"/>
      <c r="E718" s="653"/>
      <c r="F718" s="653"/>
      <c r="G718" s="653"/>
      <c r="H718" s="653"/>
      <c r="I718" s="653"/>
      <c r="J718" s="653"/>
    </row>
    <row r="719" spans="1:10" ht="15" x14ac:dyDescent="0.25">
      <c r="A719" s="84" t="s">
        <v>5525</v>
      </c>
    </row>
    <row r="720" spans="1:10" ht="15" x14ac:dyDescent="0.25">
      <c r="A720" s="84" t="s">
        <v>5094</v>
      </c>
    </row>
    <row r="722" spans="1:12" ht="15" x14ac:dyDescent="0.25">
      <c r="A722" s="1139" t="s">
        <v>5523</v>
      </c>
      <c r="B722" s="1139"/>
      <c r="C722" s="1139"/>
      <c r="D722" s="1139"/>
      <c r="E722" s="1139"/>
      <c r="F722" s="1139"/>
      <c r="G722" s="1139"/>
      <c r="H722" s="1139"/>
      <c r="I722" s="1139"/>
      <c r="J722" s="1139"/>
    </row>
    <row r="724" spans="1:12" ht="15" x14ac:dyDescent="0.25">
      <c r="A724" s="84" t="s">
        <v>5095</v>
      </c>
    </row>
    <row r="725" spans="1:12" ht="15" x14ac:dyDescent="0.25">
      <c r="A725" s="84" t="s">
        <v>5096</v>
      </c>
    </row>
    <row r="727" spans="1:12" ht="15" customHeight="1" x14ac:dyDescent="0.2">
      <c r="A727" s="1141" t="s">
        <v>4891</v>
      </c>
      <c r="B727" s="1141"/>
      <c r="C727" s="1141"/>
      <c r="D727" s="1141"/>
      <c r="E727" s="1141"/>
      <c r="F727" s="1141"/>
      <c r="G727" s="1141"/>
      <c r="H727" s="1141"/>
      <c r="I727" s="1141"/>
      <c r="J727" s="1141"/>
      <c r="K727" s="171"/>
      <c r="L727" s="171"/>
    </row>
    <row r="728" spans="1:12" ht="14.25" x14ac:dyDescent="0.2">
      <c r="A728" s="1093" t="s">
        <v>5545</v>
      </c>
      <c r="B728" s="1093"/>
      <c r="C728" s="1093"/>
      <c r="D728" s="1093"/>
      <c r="E728" s="1093"/>
      <c r="F728" s="1093"/>
      <c r="G728" s="1093"/>
      <c r="H728" s="1093"/>
      <c r="I728" s="1093"/>
      <c r="J728" s="1093"/>
      <c r="K728" s="171"/>
      <c r="L728" s="171"/>
    </row>
    <row r="732" spans="1:12" ht="14.25" x14ac:dyDescent="0.2">
      <c r="G732" s="600" t="s">
        <v>5097</v>
      </c>
      <c r="K732" s="171"/>
      <c r="L732" s="171"/>
    </row>
    <row r="733" spans="1:12" ht="14.25" x14ac:dyDescent="0.2">
      <c r="G733" s="600" t="s">
        <v>5098</v>
      </c>
      <c r="K733" s="171"/>
      <c r="L733" s="171"/>
    </row>
    <row r="735" spans="1:12" x14ac:dyDescent="0.2">
      <c r="C735" s="171"/>
      <c r="D735" s="171"/>
      <c r="E735" s="171"/>
      <c r="F735" s="171"/>
      <c r="G735" s="599" t="s">
        <v>5099</v>
      </c>
      <c r="H735" s="171"/>
      <c r="I735" s="171"/>
      <c r="J735" s="171"/>
      <c r="K735" s="171"/>
      <c r="L735" s="171"/>
    </row>
    <row r="736" spans="1:12" ht="5.25" customHeight="1" x14ac:dyDescent="0.2">
      <c r="C736" s="171"/>
      <c r="D736" s="171"/>
      <c r="E736" s="171"/>
      <c r="F736" s="171"/>
      <c r="H736" s="171"/>
      <c r="I736" s="171"/>
      <c r="J736" s="171"/>
      <c r="K736" s="171"/>
      <c r="L736" s="171"/>
    </row>
    <row r="737" spans="3:12" ht="15" x14ac:dyDescent="0.25">
      <c r="C737" s="171"/>
      <c r="D737" s="171"/>
      <c r="E737" s="171"/>
      <c r="F737" s="171"/>
      <c r="G737" s="601" t="s">
        <v>5100</v>
      </c>
      <c r="H737" s="171"/>
      <c r="I737" s="171"/>
      <c r="J737" s="171"/>
      <c r="K737" s="171"/>
      <c r="L737" s="171"/>
    </row>
  </sheetData>
  <mergeCells count="97">
    <mergeCell ref="A715:G715"/>
    <mergeCell ref="A717:J717"/>
    <mergeCell ref="A722:J722"/>
    <mergeCell ref="C711:G711"/>
    <mergeCell ref="C706:G706"/>
    <mergeCell ref="C712:G712"/>
    <mergeCell ref="C713:G713"/>
    <mergeCell ref="C714:G714"/>
    <mergeCell ref="C705:G705"/>
    <mergeCell ref="C707:G707"/>
    <mergeCell ref="C708:G708"/>
    <mergeCell ref="C709:G709"/>
    <mergeCell ref="C710:G710"/>
    <mergeCell ref="C697:G697"/>
    <mergeCell ref="A698:G698"/>
    <mergeCell ref="A700:J700"/>
    <mergeCell ref="A701:J701"/>
    <mergeCell ref="C692:G692"/>
    <mergeCell ref="C693:G693"/>
    <mergeCell ref="C694:G694"/>
    <mergeCell ref="C695:G695"/>
    <mergeCell ref="C696:G696"/>
    <mergeCell ref="C688:G688"/>
    <mergeCell ref="C689:G689"/>
    <mergeCell ref="C690:G690"/>
    <mergeCell ref="C691:G691"/>
    <mergeCell ref="A680:G680"/>
    <mergeCell ref="A682:J682"/>
    <mergeCell ref="A683:J683"/>
    <mergeCell ref="C687:G687"/>
    <mergeCell ref="C675:G675"/>
    <mergeCell ref="C676:G676"/>
    <mergeCell ref="C677:G677"/>
    <mergeCell ref="C678:G678"/>
    <mergeCell ref="C679:G679"/>
    <mergeCell ref="A667:J667"/>
    <mergeCell ref="C671:G671"/>
    <mergeCell ref="C672:G672"/>
    <mergeCell ref="C673:G673"/>
    <mergeCell ref="C674:G674"/>
    <mergeCell ref="C659:G659"/>
    <mergeCell ref="A664:G664"/>
    <mergeCell ref="C660:G660"/>
    <mergeCell ref="C661:G661"/>
    <mergeCell ref="A666:J666"/>
    <mergeCell ref="C654:G654"/>
    <mergeCell ref="C655:G655"/>
    <mergeCell ref="C656:G656"/>
    <mergeCell ref="C657:G657"/>
    <mergeCell ref="C658:G658"/>
    <mergeCell ref="C649:G649"/>
    <mergeCell ref="C650:G650"/>
    <mergeCell ref="C651:G651"/>
    <mergeCell ref="C652:G652"/>
    <mergeCell ref="C653:G653"/>
    <mergeCell ref="J619:K619"/>
    <mergeCell ref="F619:G619"/>
    <mergeCell ref="A616:B616"/>
    <mergeCell ref="A9:B9"/>
    <mergeCell ref="C9:C10"/>
    <mergeCell ref="D9:D10"/>
    <mergeCell ref="E9:E10"/>
    <mergeCell ref="A727:J727"/>
    <mergeCell ref="A728:J728"/>
    <mergeCell ref="A1:J1"/>
    <mergeCell ref="A5:J5"/>
    <mergeCell ref="G9:G10"/>
    <mergeCell ref="J9:J10"/>
    <mergeCell ref="A8:L8"/>
    <mergeCell ref="H9:H10"/>
    <mergeCell ref="K9:K10"/>
    <mergeCell ref="L9:L10"/>
    <mergeCell ref="F9:F10"/>
    <mergeCell ref="I9:I10"/>
    <mergeCell ref="A7:L7"/>
    <mergeCell ref="A3:P3"/>
    <mergeCell ref="A630:J630"/>
    <mergeCell ref="A631:J631"/>
    <mergeCell ref="A623:J623"/>
    <mergeCell ref="A625:J625"/>
    <mergeCell ref="A626:J626"/>
    <mergeCell ref="A628:J628"/>
    <mergeCell ref="A629:J629"/>
    <mergeCell ref="C633:G633"/>
    <mergeCell ref="C634:G634"/>
    <mergeCell ref="C635:G635"/>
    <mergeCell ref="C636:G636"/>
    <mergeCell ref="C637:G637"/>
    <mergeCell ref="A647:J647"/>
    <mergeCell ref="C643:G643"/>
    <mergeCell ref="A644:G644"/>
    <mergeCell ref="A646:J646"/>
    <mergeCell ref="C638:G638"/>
    <mergeCell ref="C639:G639"/>
    <mergeCell ref="C640:G640"/>
    <mergeCell ref="C641:G641"/>
    <mergeCell ref="C642:G642"/>
  </mergeCells>
  <conditionalFormatting sqref="D617:L617">
    <cfRule type="cellIs" dxfId="1" priority="1" operator="notEqual">
      <formula>0</formula>
    </cfRule>
  </conditionalFormatting>
  <dataValidations count="1">
    <dataValidation type="whole" operator="equal" showInputMessage="1" showErrorMessage="1" errorTitle="gjkgkjgjh" error="jklhlglkjhkjhlk" sqref="D617:F617">
      <formula1>0</formula1>
    </dataValidation>
  </dataValidations>
  <printOptions horizontalCentered="1"/>
  <pageMargins left="0" right="0" top="0.19685039370078741" bottom="0.19685039370078741" header="0.31496062992125984" footer="0.31496062992125984"/>
  <pageSetup orientation="portrait" r:id="rId1"/>
  <rowBreaks count="2" manualBreakCount="2">
    <brk id="200" max="11" man="1"/>
    <brk id="418" max="11" man="1"/>
  </rowBreaks>
  <cellWatches>
    <cellWatch r="D617"/>
  </cellWatch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L178"/>
  <sheetViews>
    <sheetView view="pageBreakPreview" zoomScale="60" workbookViewId="0">
      <selection activeCell="R37" sqref="R37"/>
    </sheetView>
  </sheetViews>
  <sheetFormatPr defaultRowHeight="15" x14ac:dyDescent="0.25"/>
  <cols>
    <col min="1" max="1" width="8.7109375" style="84" customWidth="1"/>
    <col min="2" max="2" width="35.140625" style="302" customWidth="1"/>
    <col min="3" max="3" width="13.85546875" style="84" customWidth="1"/>
    <col min="4" max="4" width="14" style="84" hidden="1" customWidth="1"/>
    <col min="5" max="5" width="8.42578125" style="236" hidden="1" customWidth="1"/>
    <col min="6" max="6" width="14.7109375" style="84" customWidth="1"/>
    <col min="7" max="7" width="14.85546875" style="84" hidden="1" customWidth="1"/>
    <col min="8" max="8" width="9.28515625" style="84" hidden="1" customWidth="1"/>
    <col min="9" max="9" width="16.5703125" style="84" customWidth="1"/>
    <col min="10" max="10" width="13.140625" style="84" hidden="1" customWidth="1"/>
    <col min="11" max="11" width="8.28515625" style="84" hidden="1" customWidth="1"/>
    <col min="12" max="16384" width="9.140625" style="84"/>
  </cols>
  <sheetData>
    <row r="1" spans="1:12" x14ac:dyDescent="0.25">
      <c r="A1" s="1139" t="s">
        <v>4888</v>
      </c>
      <c r="B1" s="1139"/>
      <c r="C1" s="1139"/>
      <c r="D1" s="1139"/>
      <c r="E1" s="1139"/>
      <c r="F1" s="1139"/>
      <c r="G1" s="1139"/>
      <c r="H1" s="1139"/>
      <c r="I1" s="1139"/>
      <c r="J1" s="595"/>
      <c r="K1" s="595"/>
      <c r="L1" s="595"/>
    </row>
    <row r="2" spans="1:12" x14ac:dyDescent="0.25">
      <c r="A2" s="596"/>
      <c r="B2" s="596"/>
      <c r="C2" s="596"/>
      <c r="D2" s="596"/>
      <c r="E2" s="596"/>
      <c r="F2" s="596"/>
      <c r="G2" s="596"/>
      <c r="H2" s="596"/>
      <c r="I2" s="596"/>
      <c r="J2" s="595"/>
      <c r="K2" s="595"/>
      <c r="L2" s="595"/>
    </row>
    <row r="3" spans="1:12" x14ac:dyDescent="0.25">
      <c r="A3" s="1168" t="s">
        <v>5520</v>
      </c>
      <c r="B3" s="1168"/>
      <c r="C3" s="1168"/>
      <c r="D3" s="1168"/>
      <c r="E3" s="1168"/>
      <c r="F3" s="1168"/>
      <c r="G3" s="1168"/>
      <c r="H3" s="1168"/>
      <c r="I3" s="1168"/>
      <c r="J3" s="1168"/>
      <c r="K3" s="1168"/>
      <c r="L3" s="1168"/>
    </row>
    <row r="4" spans="1:12" x14ac:dyDescent="0.25">
      <c r="A4" s="595" t="s">
        <v>5092</v>
      </c>
      <c r="B4" s="597"/>
      <c r="C4" s="595"/>
      <c r="D4" s="595"/>
      <c r="E4" s="598"/>
      <c r="F4" s="595"/>
      <c r="G4" s="595"/>
      <c r="H4" s="595"/>
      <c r="I4" s="595"/>
      <c r="J4" s="595"/>
      <c r="K4" s="595"/>
      <c r="L4" s="595"/>
    </row>
    <row r="5" spans="1:12" x14ac:dyDescent="0.25">
      <c r="A5" s="1168" t="s">
        <v>5532</v>
      </c>
      <c r="B5" s="1168"/>
      <c r="C5" s="1168"/>
      <c r="D5" s="1168"/>
      <c r="E5" s="1168"/>
      <c r="F5" s="1168"/>
      <c r="G5" s="1168"/>
      <c r="H5" s="1168"/>
      <c r="I5" s="1168"/>
      <c r="J5" s="595"/>
      <c r="K5" s="595"/>
      <c r="L5" s="595"/>
    </row>
    <row r="6" spans="1:12" x14ac:dyDescent="0.25">
      <c r="A6" s="1168" t="s">
        <v>5533</v>
      </c>
      <c r="B6" s="1168"/>
      <c r="C6" s="1168"/>
      <c r="D6" s="1168"/>
      <c r="E6" s="1168"/>
      <c r="F6" s="1168"/>
      <c r="G6" s="1168"/>
      <c r="H6" s="1168"/>
      <c r="I6" s="1168"/>
      <c r="J6" s="595"/>
      <c r="K6" s="595"/>
      <c r="L6" s="595"/>
    </row>
    <row r="7" spans="1:12" ht="15.75" hidden="1" x14ac:dyDescent="0.25">
      <c r="A7" s="1153" t="s">
        <v>5069</v>
      </c>
      <c r="B7" s="1153"/>
      <c r="C7" s="1153"/>
      <c r="D7" s="1153"/>
      <c r="E7" s="1153"/>
      <c r="F7" s="1153"/>
      <c r="G7" s="1153"/>
      <c r="H7" s="1153"/>
      <c r="I7" s="1153"/>
      <c r="J7" s="1153"/>
      <c r="K7" s="1153"/>
    </row>
    <row r="8" spans="1:12" ht="28.5" hidden="1" customHeight="1" x14ac:dyDescent="0.25">
      <c r="A8" s="1170" t="s">
        <v>4887</v>
      </c>
      <c r="B8" s="1170"/>
      <c r="C8" s="1170"/>
      <c r="D8" s="1170"/>
      <c r="E8" s="1170"/>
      <c r="F8" s="1170"/>
      <c r="G8" s="1170"/>
      <c r="H8" s="1170"/>
      <c r="I8" s="1170"/>
      <c r="J8" s="1170"/>
      <c r="K8" s="1170"/>
    </row>
    <row r="9" spans="1:12" ht="39.75" customHeight="1" x14ac:dyDescent="0.25">
      <c r="A9" s="169" t="s">
        <v>3861</v>
      </c>
      <c r="B9" s="169" t="s">
        <v>3862</v>
      </c>
      <c r="C9" s="170" t="s">
        <v>25</v>
      </c>
      <c r="D9" s="170" t="s">
        <v>4808</v>
      </c>
      <c r="E9" s="424" t="s">
        <v>4816</v>
      </c>
      <c r="F9" s="170" t="s">
        <v>3759</v>
      </c>
      <c r="G9" s="170" t="s">
        <v>4809</v>
      </c>
      <c r="H9" s="170" t="s">
        <v>4816</v>
      </c>
      <c r="I9" s="170" t="s">
        <v>4107</v>
      </c>
      <c r="J9" s="170" t="s">
        <v>4755</v>
      </c>
      <c r="K9" s="170" t="s">
        <v>4816</v>
      </c>
    </row>
    <row r="10" spans="1:12" x14ac:dyDescent="0.25">
      <c r="A10" s="168" t="s">
        <v>3764</v>
      </c>
      <c r="B10" s="153">
        <v>2</v>
      </c>
      <c r="C10" s="153">
        <v>3</v>
      </c>
      <c r="D10" s="153"/>
      <c r="E10" s="425"/>
      <c r="F10" s="153">
        <v>5</v>
      </c>
      <c r="G10" s="153"/>
      <c r="H10" s="153"/>
      <c r="I10" s="380">
        <v>6</v>
      </c>
      <c r="J10" s="372"/>
      <c r="K10" s="309"/>
    </row>
    <row r="11" spans="1:12" x14ac:dyDescent="0.25">
      <c r="A11" s="88" t="s">
        <v>3863</v>
      </c>
      <c r="B11" s="95" t="s">
        <v>95</v>
      </c>
      <c r="C11" s="303">
        <f>SUM(C12:C20)</f>
        <v>17698000</v>
      </c>
      <c r="D11" s="303">
        <f>SUM(D12:D20)</f>
        <v>13246576.110000001</v>
      </c>
      <c r="E11" s="315">
        <f>D11/C11</f>
        <v>0.7484787043733756</v>
      </c>
      <c r="F11" s="316">
        <f>SUM(F12:F20)</f>
        <v>26400000</v>
      </c>
      <c r="G11" s="316">
        <f>SUM(G12:G20)</f>
        <v>9791387.2100000009</v>
      </c>
      <c r="H11" s="316">
        <v>0</v>
      </c>
      <c r="I11" s="381">
        <f>SUM(I12:I20)</f>
        <v>44098000</v>
      </c>
      <c r="J11" s="373">
        <f>SUM(J12:J20)</f>
        <v>23037963.32</v>
      </c>
      <c r="K11" s="317">
        <f>J11/I11</f>
        <v>0.52242648918318291</v>
      </c>
    </row>
    <row r="12" spans="1:12" x14ac:dyDescent="0.25">
      <c r="A12" s="87" t="s">
        <v>3864</v>
      </c>
      <c r="B12" s="89" t="s">
        <v>3865</v>
      </c>
      <c r="C12" s="308">
        <f>SUMIF('ПО КОРИСНИЦИМА'!$G$16:$G$1823,"Функција 010:",'ПО КОРИСНИЦИМА'!$H$16:$H$1823)</f>
        <v>0</v>
      </c>
      <c r="D12" s="308">
        <f>SUMIF('ПО КОРИСНИЦИМА'!$G$16:$G$1823,"Функција 010:",'ПО КОРИСНИЦИМА'!$I$16:$I$1823)</f>
        <v>0</v>
      </c>
      <c r="E12" s="319">
        <v>0</v>
      </c>
      <c r="F12" s="308">
        <f>SUMIF('ПО КОРИСНИЦИМА'!$G$16:$G$1823,"Функција 010:",'ПО КОРИСНИЦИМА'!$L$16:$L$1823)</f>
        <v>0</v>
      </c>
      <c r="G12" s="308">
        <f>SUMIF('ПО КОРИСНИЦИМА'!$G$16:$G$1823,"Функција 010:",'ПО КОРИСНИЦИМА'!$M$16:$M$1823)</f>
        <v>0</v>
      </c>
      <c r="H12" s="308">
        <v>0</v>
      </c>
      <c r="I12" s="318">
        <f t="shared" ref="I12:I20" si="0">SUM(F12,C12)</f>
        <v>0</v>
      </c>
      <c r="J12" s="374">
        <f t="shared" ref="J12:J20" si="1">SUM(G12,D12)</f>
        <v>0</v>
      </c>
      <c r="K12" s="318">
        <v>0</v>
      </c>
    </row>
    <row r="13" spans="1:12" x14ac:dyDescent="0.25">
      <c r="A13" s="87" t="s">
        <v>3866</v>
      </c>
      <c r="B13" s="89" t="s">
        <v>3867</v>
      </c>
      <c r="C13" s="308">
        <f>SUMIF('ПО КОРИСНИЦИМА'!$G$16:$G$1823,"Функција 020:",'ПО КОРИСНИЦИМА'!$H$16:$H$1823)</f>
        <v>0</v>
      </c>
      <c r="D13" s="308">
        <f>SUMIF('ПО КОРИСНИЦИМА'!$G$16:$G$1823,"Функција 020:",'ПО КОРИСНИЦИМА'!$I$16:$I$1823)</f>
        <v>0</v>
      </c>
      <c r="E13" s="319">
        <v>0</v>
      </c>
      <c r="F13" s="308">
        <f>SUMIF('ПО КОРИСНИЦИМА'!$G$16:$G$1823,"Функција 020:",'ПО КОРИСНИЦИМА'!$L$16:$L$1823)</f>
        <v>4000000</v>
      </c>
      <c r="G13" s="308">
        <f>SUMIF('ПО КОРИСНИЦИМА'!$G$16:$G$1823,"Функција 020:",'ПО КОРИСНИЦИМА'!$M$16:$M$1823)</f>
        <v>4292290</v>
      </c>
      <c r="H13" s="308">
        <v>0</v>
      </c>
      <c r="I13" s="318">
        <f t="shared" si="0"/>
        <v>4000000</v>
      </c>
      <c r="J13" s="374">
        <f t="shared" si="1"/>
        <v>4292290</v>
      </c>
      <c r="K13" s="318">
        <v>0</v>
      </c>
    </row>
    <row r="14" spans="1:12" x14ac:dyDescent="0.25">
      <c r="A14" s="87" t="s">
        <v>3868</v>
      </c>
      <c r="B14" s="89" t="s">
        <v>3869</v>
      </c>
      <c r="C14" s="308">
        <f>SUMIF('ПО КОРИСНИЦИМА'!$G$16:$G$1823,"Функција 030:",'ПО КОРИСНИЦИМА'!$H$16:$H$1823)</f>
        <v>0</v>
      </c>
      <c r="D14" s="308">
        <f>SUMIF('ПО КОРИСНИЦИМА'!$G$16:$G$1823,"Функција 030:",'ПО КОРИСНИЦИМА'!$I$16:$I$1823)</f>
        <v>0</v>
      </c>
      <c r="E14" s="319">
        <v>0</v>
      </c>
      <c r="F14" s="308">
        <f>SUMIF('ПО КОРИСНИЦИМА'!$G$16:$G$1823,"Функција 030:",'ПО КОРИСНИЦИМА'!$L$16:$L$1823)</f>
        <v>0</v>
      </c>
      <c r="G14" s="308">
        <f>SUMIF('ПО КОРИСНИЦИМА'!$G$16:$G$1823,"Функција 030:",'ПО КОРИСНИЦИМА'!$M$16:$M$1823)</f>
        <v>0</v>
      </c>
      <c r="H14" s="308">
        <v>0</v>
      </c>
      <c r="I14" s="318">
        <f t="shared" si="0"/>
        <v>0</v>
      </c>
      <c r="J14" s="374">
        <f t="shared" si="1"/>
        <v>0</v>
      </c>
      <c r="K14" s="318">
        <v>0</v>
      </c>
    </row>
    <row r="15" spans="1:12" x14ac:dyDescent="0.25">
      <c r="A15" s="87" t="s">
        <v>3870</v>
      </c>
      <c r="B15" s="89" t="s">
        <v>3871</v>
      </c>
      <c r="C15" s="307">
        <f>SUMIF('ПО КОРИСНИЦИМА'!$G$16:$G$1823,"Функција 040:",'ПО КОРИСНИЦИМА'!$H$16:$H$1823)</f>
        <v>4698000</v>
      </c>
      <c r="D15" s="308">
        <f>SUMIF('ПО КОРИСНИЦИМА'!$G$16:$G$1823,"Функција 040:",'ПО КОРИСНИЦИМА'!$I$16:$I$1823)</f>
        <v>4557721.24</v>
      </c>
      <c r="E15" s="319">
        <v>0</v>
      </c>
      <c r="F15" s="308">
        <f>SUMIF('ПО КОРИСНИЦИМА'!$G$16:$G$1823,"Функција 040:",'ПО КОРИСНИЦИМА'!$L$16:$L$1823)</f>
        <v>3500000</v>
      </c>
      <c r="G15" s="308">
        <f>SUMIF('ПО КОРИСНИЦИМА'!$G$16:$G$1823,"Функција 040:",'ПО КОРИСНИЦИМА'!$M$16:$M$1823)</f>
        <v>0</v>
      </c>
      <c r="H15" s="308">
        <v>0</v>
      </c>
      <c r="I15" s="318">
        <f t="shared" si="0"/>
        <v>8198000</v>
      </c>
      <c r="J15" s="374">
        <f t="shared" si="1"/>
        <v>4557721.24</v>
      </c>
      <c r="K15" s="318">
        <v>0</v>
      </c>
    </row>
    <row r="16" spans="1:12" x14ac:dyDescent="0.25">
      <c r="A16" s="87" t="s">
        <v>3872</v>
      </c>
      <c r="B16" s="89" t="s">
        <v>3873</v>
      </c>
      <c r="C16" s="308">
        <f>SUMIF('ПО КОРИСНИЦИМА'!$G$16:$G$1823,"Функција 050:",'ПО КОРИСНИЦИМА'!$H$16:$H$1823)</f>
        <v>0</v>
      </c>
      <c r="D16" s="308">
        <f>SUMIF('ПО КОРИСНИЦИМА'!$G$16:$G$1823,"Функција 050:",'ПО КОРИСНИЦИМА'!$I$16:$I$1823)</f>
        <v>0</v>
      </c>
      <c r="E16" s="319">
        <v>0</v>
      </c>
      <c r="F16" s="308">
        <f>SUMIF('ПО КОРИСНИЦИМА'!$G$16:$G$1823,"Функција 050:",'ПО КОРИСНИЦИМА'!$L$16:$L$1823)</f>
        <v>0</v>
      </c>
      <c r="G16" s="308">
        <f>SUMIF('ПО КОРИСНИЦИМА'!$G$16:$G$1823,"Функција 050:",'ПО КОРИСНИЦИМА'!$M$16:$M$1823)</f>
        <v>0</v>
      </c>
      <c r="H16" s="308">
        <v>0</v>
      </c>
      <c r="I16" s="318">
        <f t="shared" si="0"/>
        <v>0</v>
      </c>
      <c r="J16" s="374">
        <f t="shared" si="1"/>
        <v>0</v>
      </c>
      <c r="K16" s="318">
        <v>0</v>
      </c>
    </row>
    <row r="17" spans="1:11" x14ac:dyDescent="0.25">
      <c r="A17" s="87" t="s">
        <v>3874</v>
      </c>
      <c r="B17" s="89" t="s">
        <v>3875</v>
      </c>
      <c r="C17" s="308">
        <f>SUMIF('ПО КОРИСНИЦИМА'!$G$16:$G$1823,"Функција 060:",'ПО КОРИСНИЦИМА'!$H$16:$H$1823)</f>
        <v>0</v>
      </c>
      <c r="D17" s="308">
        <f>SUMIF('ПО КОРИСНИЦИМА'!$G$16:$G$1823,"Функција 060:",'ПО КОРИСНИЦИМА'!$I$16:$I$1823)</f>
        <v>0</v>
      </c>
      <c r="E17" s="319">
        <v>0</v>
      </c>
      <c r="F17" s="308">
        <f>SUMIF('ПО КОРИСНИЦИМА'!$G$16:$G$1823,"Функција 060:",'ПО КОРИСНИЦИМА'!$L$16:$L$1823)</f>
        <v>0</v>
      </c>
      <c r="G17" s="308">
        <f>SUMIF('ПО КОРИСНИЦИМА'!$G$16:$G$1823,"Функција 060:",'ПО КОРИСНИЦИМА'!$M$16:$M$1823)</f>
        <v>0</v>
      </c>
      <c r="H17" s="308">
        <v>0</v>
      </c>
      <c r="I17" s="318">
        <f t="shared" si="0"/>
        <v>0</v>
      </c>
      <c r="J17" s="374">
        <f t="shared" si="1"/>
        <v>0</v>
      </c>
      <c r="K17" s="318">
        <v>0</v>
      </c>
    </row>
    <row r="18" spans="1:11" ht="22.5" x14ac:dyDescent="0.25">
      <c r="A18" s="87" t="s">
        <v>3876</v>
      </c>
      <c r="B18" s="89" t="s">
        <v>3877</v>
      </c>
      <c r="C18" s="307">
        <f>SUMIF('ПО КОРИСНИЦИМА'!$G$16:$G$1823,"Функција 070:",'ПО КОРИСНИЦИМА'!$H$16:$H$1823)</f>
        <v>500000</v>
      </c>
      <c r="D18" s="307">
        <f>SUMIF('ПО КОРИСНИЦИМА'!$G$16:$G$1823,"Функција 070:",'ПО КОРИСНИЦИМА'!$I$16:$I$1823)</f>
        <v>0</v>
      </c>
      <c r="E18" s="319">
        <f>D18/C18</f>
        <v>0</v>
      </c>
      <c r="F18" s="308">
        <f>SUMIF('ПО КОРИСНИЦИМА'!$G$16:$G$1823,"Функција 070:",'ПО КОРИСНИЦИМА'!$L$16:$L$1823)</f>
        <v>18900000</v>
      </c>
      <c r="G18" s="308">
        <f>SUMIF('ПО КОРИСНИЦИМА'!$G$16:$G$1823,"Функција 070:",'ПО КОРИСНИЦИМА'!$M$16:$M$1823)</f>
        <v>5499097.21</v>
      </c>
      <c r="H18" s="308">
        <v>0</v>
      </c>
      <c r="I18" s="382">
        <f t="shared" si="0"/>
        <v>19400000</v>
      </c>
      <c r="J18" s="375">
        <f t="shared" si="1"/>
        <v>5499097.21</v>
      </c>
      <c r="K18" s="314">
        <f>J18/I18</f>
        <v>0.28345861907216496</v>
      </c>
    </row>
    <row r="19" spans="1:11" x14ac:dyDescent="0.25">
      <c r="A19" s="87" t="s">
        <v>3878</v>
      </c>
      <c r="B19" s="89" t="s">
        <v>3879</v>
      </c>
      <c r="C19" s="308">
        <f>SUMIF('ПО КОРИСНИЦИМА'!$G$16:$G$1823,"Функција 080:",'ПО КОРИСНИЦИМА'!$H$16:$H$1823)</f>
        <v>0</v>
      </c>
      <c r="D19" s="308">
        <f>SUMIF('ПО КОРИСНИЦИМА'!$G$16:$G$1823,"Функција 080:",'ПО КОРИСНИЦИМА'!$I$16:$I$1823)</f>
        <v>0</v>
      </c>
      <c r="E19" s="319">
        <v>0</v>
      </c>
      <c r="F19" s="308">
        <f>SUMIF('ПО КОРИСНИЦИМА'!$G$16:$G$1823,"Функција 080:",'ПО КОРИСНИЦИМА'!$L$16:$L$1823)</f>
        <v>0</v>
      </c>
      <c r="G19" s="308">
        <f>SUMIF('ПО КОРИСНИЦИМА'!$G$16:$G$1823,"Функција 080:",'ПО КОРИСНИЦИМА'!$M$16:$M$1823)</f>
        <v>0</v>
      </c>
      <c r="H19" s="308">
        <v>0</v>
      </c>
      <c r="I19" s="318">
        <f t="shared" si="0"/>
        <v>0</v>
      </c>
      <c r="J19" s="374">
        <f t="shared" si="1"/>
        <v>0</v>
      </c>
      <c r="K19" s="318">
        <v>0</v>
      </c>
    </row>
    <row r="20" spans="1:11" ht="22.5" x14ac:dyDescent="0.25">
      <c r="A20" s="87" t="s">
        <v>3880</v>
      </c>
      <c r="B20" s="89" t="s">
        <v>104</v>
      </c>
      <c r="C20" s="307">
        <f>SUMIF('ПО КОРИСНИЦИМА'!$G$16:$G$1823,"Функција 090:",'ПО КОРИСНИЦИМА'!$H$16:$H$1823)</f>
        <v>12500000</v>
      </c>
      <c r="D20" s="304">
        <f>SUMIF('ПО КОРИСНИЦИМА'!$G$16:$G$1823,"Функција 090:",'ПО КОРИСНИЦИМА'!$I$16:$I$1823)</f>
        <v>8688854.870000001</v>
      </c>
      <c r="E20" s="319">
        <v>0</v>
      </c>
      <c r="F20" s="308">
        <f>SUMIF('ПО КОРИСНИЦИМА'!$G$16:$G$1823,"Функција 090:",'ПО КОРИСНИЦИМА'!$L$16:$L$1823)</f>
        <v>0</v>
      </c>
      <c r="G20" s="308">
        <f>SUMIF('ПО КОРИСНИЦИМА'!$G$16:$G$1823,"Функција 090:",'ПО КОРИСНИЦИМА'!$M$16:$M$1823)</f>
        <v>0</v>
      </c>
      <c r="H20" s="308">
        <v>0</v>
      </c>
      <c r="I20" s="318">
        <f t="shared" si="0"/>
        <v>12500000</v>
      </c>
      <c r="J20" s="374">
        <f t="shared" si="1"/>
        <v>8688854.870000001</v>
      </c>
      <c r="K20" s="318">
        <v>0</v>
      </c>
    </row>
    <row r="21" spans="1:11" x14ac:dyDescent="0.25">
      <c r="A21" s="90" t="s">
        <v>3881</v>
      </c>
      <c r="B21" s="91" t="s">
        <v>105</v>
      </c>
      <c r="C21" s="324">
        <f>SUM(C22:C37)</f>
        <v>138886774</v>
      </c>
      <c r="D21" s="324">
        <f>SUM(D22:D37)</f>
        <v>115993567.30000001</v>
      </c>
      <c r="E21" s="315">
        <f>D21/C21</f>
        <v>0.83516640180583368</v>
      </c>
      <c r="F21" s="325">
        <f>SUM(F22:F37)</f>
        <v>9929547.1600000001</v>
      </c>
      <c r="G21" s="324">
        <f>SUM(G22:G37)</f>
        <v>0</v>
      </c>
      <c r="H21" s="324">
        <f>G21/F21</f>
        <v>0</v>
      </c>
      <c r="I21" s="383">
        <f>C21+F21</f>
        <v>148816321.16</v>
      </c>
      <c r="J21" s="376">
        <f>D21+G21</f>
        <v>115993567.30000001</v>
      </c>
      <c r="K21" s="317">
        <f>J21/I21</f>
        <v>0.77944116879014513</v>
      </c>
    </row>
    <row r="22" spans="1:11" ht="23.25" x14ac:dyDescent="0.25">
      <c r="A22" s="92" t="s">
        <v>3882</v>
      </c>
      <c r="B22" s="93" t="s">
        <v>3883</v>
      </c>
      <c r="C22" s="307">
        <f>SUMIF('ПО КОРИСНИЦИМА'!$G$16:$G$1823,"Функција 110:",'ПО КОРИСНИЦИМА'!$H$16:$H$1823)</f>
        <v>14951758</v>
      </c>
      <c r="D22" s="307">
        <f>SUMIF('ПО КОРИСНИЦИМА'!$G$16:$G$1823,"Функција 110:",'ПО КОРИСНИЦИМА'!$I$16:$I$1823)</f>
        <v>8798466.3200000003</v>
      </c>
      <c r="E22" s="319">
        <f>D22/C22</f>
        <v>0.58845697743369041</v>
      </c>
      <c r="F22" s="308">
        <f>SUMIF('ПО КОРИСНИЦИМА'!$G$16:$G$1823,"Функција 110:",'ПО КОРИСНИЦИМА'!$L$16:$L$1823)</f>
        <v>0</v>
      </c>
      <c r="G22" s="308">
        <f>SUMIF('ПО КОРИСНИЦИМА'!$G$16:$G$1823,"Функција 110:",'ПО КОРИСНИЦИМА'!$M$16:$M$1823)</f>
        <v>0</v>
      </c>
      <c r="H22" s="308">
        <v>0</v>
      </c>
      <c r="I22" s="384">
        <f t="shared" ref="I22:I37" si="2">SUM(F22,C22)</f>
        <v>14951758</v>
      </c>
      <c r="J22" s="377">
        <f t="shared" ref="J22:J37" si="3">SUM(G22,D22)</f>
        <v>8798466.3200000003</v>
      </c>
      <c r="K22" s="314">
        <f>J22/I22</f>
        <v>0.58845697743369041</v>
      </c>
    </row>
    <row r="23" spans="1:11" x14ac:dyDescent="0.25">
      <c r="A23" s="94" t="s">
        <v>3884</v>
      </c>
      <c r="B23" s="93" t="s">
        <v>107</v>
      </c>
      <c r="C23" s="308">
        <f>SUMIF('ПО КОРИСНИЦИМА'!$G$16:$G$1823,"Функција 111:",'ПО КОРИСНИЦИМА'!$H$16:$H$1823)</f>
        <v>0</v>
      </c>
      <c r="D23" s="308">
        <f>SUMIF('ПО КОРИСНИЦИМА'!$G$16:$G$1823,"Функција 111:",'ПО КОРИСНИЦИМА'!$H$16:$H$1823)</f>
        <v>0</v>
      </c>
      <c r="E23" s="319">
        <v>0</v>
      </c>
      <c r="F23" s="308">
        <f>SUMIF('ПО КОРИСНИЦИМА'!$G$16:$G$1823,"Функција 111:",'ПО КОРИСНИЦИМА'!$L$16:$L$1823)</f>
        <v>0</v>
      </c>
      <c r="G23" s="308">
        <f>SUMIF('ПО КОРИСНИЦИМА'!$G$16:$G$1823,"Функција 111:",'ПО КОРИСНИЦИМА'!$M$16:$M$1823)</f>
        <v>0</v>
      </c>
      <c r="H23" s="308">
        <v>0</v>
      </c>
      <c r="I23" s="318">
        <f t="shared" si="2"/>
        <v>0</v>
      </c>
      <c r="J23" s="374">
        <f t="shared" si="3"/>
        <v>0</v>
      </c>
      <c r="K23" s="318">
        <v>0</v>
      </c>
    </row>
    <row r="24" spans="1:11" x14ac:dyDescent="0.25">
      <c r="A24" s="94" t="s">
        <v>3885</v>
      </c>
      <c r="B24" s="93" t="s">
        <v>108</v>
      </c>
      <c r="C24" s="308">
        <f>SUMIF('ПО КОРИСНИЦИМА'!$G$16:$G$1823,"Функција 112:",'ПО КОРИСНИЦИМА'!$H$16:$H$1823)</f>
        <v>0</v>
      </c>
      <c r="D24" s="308">
        <f>SUMIF('ПО КОРИСНИЦИМА'!$G$16:$G$1823,"Функција 112:",'ПО КОРИСНИЦИМА'!$H$16:$H$1823)</f>
        <v>0</v>
      </c>
      <c r="E24" s="319">
        <v>0</v>
      </c>
      <c r="F24" s="308">
        <f>SUMIF('ПО КОРИСНИЦИМА'!$G$16:$G$1823,"Функција 112:",'ПО КОРИСНИЦИМА'!$L$16:$L$1823)</f>
        <v>0</v>
      </c>
      <c r="G24" s="308">
        <f>SUMIF('ПО КОРИСНИЦИМА'!$G$16:$G$1823,"Функција 112:",'ПО КОРИСНИЦИМА'!$M$16:$M$1823)</f>
        <v>0</v>
      </c>
      <c r="H24" s="308">
        <v>0</v>
      </c>
      <c r="I24" s="318">
        <f t="shared" si="2"/>
        <v>0</v>
      </c>
      <c r="J24" s="374">
        <f t="shared" si="3"/>
        <v>0</v>
      </c>
      <c r="K24" s="318">
        <v>0</v>
      </c>
    </row>
    <row r="25" spans="1:11" x14ac:dyDescent="0.25">
      <c r="A25" s="94" t="s">
        <v>3886</v>
      </c>
      <c r="B25" s="93" t="s">
        <v>109</v>
      </c>
      <c r="C25" s="308">
        <f>SUMIF('ПО КОРИСНИЦИМА'!$G$16:$G$1823,"Функција 113:",'ПО КОРИСНИЦИМА'!$H$16:$H$1823)</f>
        <v>0</v>
      </c>
      <c r="D25" s="308">
        <f>SUMIF('ПО КОРИСНИЦИМА'!$G$16:$G$1823,"Функција 113:",'ПО КОРИСНИЦИМА'!$H$16:$H$1823)</f>
        <v>0</v>
      </c>
      <c r="E25" s="319">
        <v>0</v>
      </c>
      <c r="F25" s="308">
        <f>SUMIF('ПО КОРИСНИЦИМА'!$G$16:$G$1823,"Функција 113:",'ПО КОРИСНИЦИМА'!$L$16:$L$1823)</f>
        <v>0</v>
      </c>
      <c r="G25" s="308">
        <f>SUMIF('ПО КОРИСНИЦИМА'!$G$16:$G$1823,"Функција 113:",'ПО КОРИСНИЦИМА'!$M$16:$M$1823)</f>
        <v>0</v>
      </c>
      <c r="H25" s="308">
        <v>0</v>
      </c>
      <c r="I25" s="318">
        <f t="shared" si="2"/>
        <v>0</v>
      </c>
      <c r="J25" s="374">
        <f t="shared" si="3"/>
        <v>0</v>
      </c>
      <c r="K25" s="318">
        <v>0</v>
      </c>
    </row>
    <row r="26" spans="1:11" x14ac:dyDescent="0.25">
      <c r="A26" s="92" t="s">
        <v>3887</v>
      </c>
      <c r="B26" s="93" t="s">
        <v>3888</v>
      </c>
      <c r="C26" s="308">
        <f>SUMIF('ПО КОРИСНИЦИМА'!$G$16:$G$1823,"Функција 120:",'ПО КОРИСНИЦИМА'!$H$16:$H$1823)</f>
        <v>0</v>
      </c>
      <c r="D26" s="308">
        <f>SUMIF('ПО КОРИСНИЦИМА'!$G$16:$G$1823,"Функција 120:",'ПО КОРИСНИЦИМА'!$H$16:$H$1823)</f>
        <v>0</v>
      </c>
      <c r="E26" s="319">
        <v>0</v>
      </c>
      <c r="F26" s="308">
        <f>SUMIF('ПО КОРИСНИЦИМА'!$G$16:$G$1823,"Функција 120:",'ПО КОРИСНИЦИМА'!$L$16:$L$1823)</f>
        <v>0</v>
      </c>
      <c r="G26" s="308">
        <f>SUMIF('ПО КОРИСНИЦИМА'!$G$16:$G$1823,"Функција 120:",'ПО КОРИСНИЦИМА'!$M$16:$M$1823)</f>
        <v>0</v>
      </c>
      <c r="H26" s="308">
        <v>0</v>
      </c>
      <c r="I26" s="318">
        <f t="shared" si="2"/>
        <v>0</v>
      </c>
      <c r="J26" s="374">
        <f t="shared" si="3"/>
        <v>0</v>
      </c>
      <c r="K26" s="318">
        <v>0</v>
      </c>
    </row>
    <row r="27" spans="1:11" ht="23.25" x14ac:dyDescent="0.25">
      <c r="A27" s="94" t="s">
        <v>3889</v>
      </c>
      <c r="B27" s="93" t="s">
        <v>111</v>
      </c>
      <c r="C27" s="308">
        <f>SUMIF('ПО КОРИСНИЦИМА'!$G$16:$G$1823,"Функција 121:",'ПО КОРИСНИЦИМА'!$H$16:$H$1823)</f>
        <v>0</v>
      </c>
      <c r="D27" s="308">
        <f>SUMIF('ПО КОРИСНИЦИМА'!$G$16:$G$1823,"Функција 121:",'ПО КОРИСНИЦИМА'!$H$16:$H$1823)</f>
        <v>0</v>
      </c>
      <c r="E27" s="319">
        <v>0</v>
      </c>
      <c r="F27" s="308">
        <f>SUMIF('ПО КОРИСНИЦИМА'!$G$16:$G$1823,"Функција 121:",'ПО КОРИСНИЦИМА'!$L$16:$L$1823)</f>
        <v>0</v>
      </c>
      <c r="G27" s="308">
        <f>SUMIF('ПО КОРИСНИЦИМА'!$G$16:$G$1823,"Функција 121:",'ПО КОРИСНИЦИМА'!$M$16:$M$1823)</f>
        <v>0</v>
      </c>
      <c r="H27" s="308">
        <v>0</v>
      </c>
      <c r="I27" s="318">
        <f t="shared" si="2"/>
        <v>0</v>
      </c>
      <c r="J27" s="374">
        <f t="shared" si="3"/>
        <v>0</v>
      </c>
      <c r="K27" s="318">
        <v>0</v>
      </c>
    </row>
    <row r="28" spans="1:11" ht="23.25" x14ac:dyDescent="0.25">
      <c r="A28" s="94" t="s">
        <v>3890</v>
      </c>
      <c r="B28" s="93" t="s">
        <v>112</v>
      </c>
      <c r="C28" s="308">
        <f>SUMIF('ПО КОРИСНИЦИМА'!$G$16:$G$1823,"Функција 122:",'ПО КОРИСНИЦИМА'!$H$16:$H$1823)</f>
        <v>0</v>
      </c>
      <c r="D28" s="308">
        <f>SUMIF('ПО КОРИСНИЦИМА'!$G$16:$G$1823,"Функција 122:",'ПО КОРИСНИЦИМА'!$H$16:$H$1823)</f>
        <v>0</v>
      </c>
      <c r="E28" s="319">
        <v>0</v>
      </c>
      <c r="F28" s="308">
        <f>SUMIF('ПО КОРИСНИЦИМА'!$G$16:$G$1823,"Функција 122:",'ПО КОРИСНИЦИМА'!$L$16:$L$1823)</f>
        <v>0</v>
      </c>
      <c r="G28" s="308">
        <f>SUMIF('ПО КОРИСНИЦИМА'!$G$16:$G$1823,"Функција 122:",'ПО КОРИСНИЦИМА'!$M$16:$M$1823)</f>
        <v>0</v>
      </c>
      <c r="H28" s="308">
        <v>0</v>
      </c>
      <c r="I28" s="318">
        <f t="shared" si="2"/>
        <v>0</v>
      </c>
      <c r="J28" s="374">
        <f t="shared" si="3"/>
        <v>0</v>
      </c>
      <c r="K28" s="318">
        <v>0</v>
      </c>
    </row>
    <row r="29" spans="1:11" x14ac:dyDescent="0.25">
      <c r="A29" s="92" t="s">
        <v>3891</v>
      </c>
      <c r="B29" s="93" t="s">
        <v>3892</v>
      </c>
      <c r="C29" s="307">
        <f>SUMIF('ПО КОРИСНИЦИМА'!$G$16:$G$1823,"Функција 130:",'ПО КОРИСНИЦИМА'!$H$16:$H$1823)</f>
        <v>112554522</v>
      </c>
      <c r="D29" s="307">
        <f>SUMIF('ПО КОРИСНИЦИМА'!$G$16:$G$1823,"Функција 130:",'ПО КОРИСНИЦИМА'!$I$16:$I$1823)</f>
        <v>101099816.38000001</v>
      </c>
      <c r="E29" s="319">
        <f>D29/C29</f>
        <v>0.89822971643911398</v>
      </c>
      <c r="F29" s="307">
        <f>SUMIF('ПО КОРИСНИЦИМА'!$G$16:$G$1823,"Функција 130:",'ПО КОРИСНИЦИМА'!$L$16:$L$1823)</f>
        <v>1638427</v>
      </c>
      <c r="G29" s="307">
        <f>SUMIF('ПО КОРИСНИЦИМА'!$G$16:$G$1823,"Функција 130:",'ПО КОРИСНИЦИМА'!$M$16:$M$1823)</f>
        <v>0</v>
      </c>
      <c r="H29" s="319">
        <f>G29/F29</f>
        <v>0</v>
      </c>
      <c r="I29" s="382">
        <f t="shared" si="2"/>
        <v>114192949</v>
      </c>
      <c r="J29" s="375">
        <f t="shared" si="3"/>
        <v>101099816.38000001</v>
      </c>
      <c r="K29" s="314">
        <f>J29/I29</f>
        <v>0.88534202212432578</v>
      </c>
    </row>
    <row r="30" spans="1:11" x14ac:dyDescent="0.25">
      <c r="A30" s="94" t="s">
        <v>3893</v>
      </c>
      <c r="B30" s="93" t="s">
        <v>114</v>
      </c>
      <c r="C30" s="308">
        <f>SUMIF('ПО КОРИСНИЦИМА'!$G$16:$G$1823,"Функција 131:",'ПО КОРИСНИЦИМА'!$H$16:$H$1823)</f>
        <v>0</v>
      </c>
      <c r="D30" s="308">
        <f>SUMIF('ПО КОРИСНИЦИМА'!$G$16:$G$1823,"Функција 131:",'ПО КОРИСНИЦИМА'!$H$16:$H$1823)</f>
        <v>0</v>
      </c>
      <c r="E30" s="319">
        <v>0</v>
      </c>
      <c r="F30" s="308">
        <f>SUMIF('ПО КОРИСНИЦИМА'!$G$16:$G$1823,"Функција 131:",'ПО КОРИСНИЦИМА'!$L$16:$L$1823)</f>
        <v>0</v>
      </c>
      <c r="G30" s="308">
        <f>SUMIF('ПО КОРИСНИЦИМА'!$G$16:$G$1823,"Функција 131:",'ПО КОРИСНИЦИМА'!$M$16:$M$1823)</f>
        <v>0</v>
      </c>
      <c r="H30" s="308">
        <v>0</v>
      </c>
      <c r="I30" s="318">
        <f t="shared" si="2"/>
        <v>0</v>
      </c>
      <c r="J30" s="374">
        <f t="shared" si="3"/>
        <v>0</v>
      </c>
      <c r="K30" s="318">
        <f>SUM(H30,E30)</f>
        <v>0</v>
      </c>
    </row>
    <row r="31" spans="1:11" x14ac:dyDescent="0.25">
      <c r="A31" s="94" t="s">
        <v>3894</v>
      </c>
      <c r="B31" s="93" t="s">
        <v>115</v>
      </c>
      <c r="C31" s="308">
        <f>SUMIF('ПО КОРИСНИЦИМА'!$G$16:$G$1823,"Функција 132:",'ПО КОРИСНИЦИМА'!$H$16:$H$1823)</f>
        <v>0</v>
      </c>
      <c r="D31" s="308">
        <f>SUMIF('ПО КОРИСНИЦИМА'!$G$16:$G$1823,"Функција 132:",'ПО КОРИСНИЦИМА'!$H$16:$H$1823)</f>
        <v>0</v>
      </c>
      <c r="E31" s="319">
        <v>0</v>
      </c>
      <c r="F31" s="308">
        <f>SUMIF('ПО КОРИСНИЦИМА'!$G$16:$G$1823,"Функција 132:",'ПО КОРИСНИЦИМА'!$L$16:$L$1823)</f>
        <v>0</v>
      </c>
      <c r="G31" s="308">
        <f>SUMIF('ПО КОРИСНИЦИМА'!$G$16:$G$1823,"Функција 132:",'ПО КОРИСНИЦИМА'!$M$16:$M$1823)</f>
        <v>0</v>
      </c>
      <c r="H31" s="308">
        <v>0</v>
      </c>
      <c r="I31" s="318">
        <f t="shared" si="2"/>
        <v>0</v>
      </c>
      <c r="J31" s="374">
        <f t="shared" si="3"/>
        <v>0</v>
      </c>
      <c r="K31" s="318">
        <f>SUM(H31,E31)</f>
        <v>0</v>
      </c>
    </row>
    <row r="32" spans="1:11" x14ac:dyDescent="0.25">
      <c r="A32" s="94" t="s">
        <v>3895</v>
      </c>
      <c r="B32" s="93" t="s">
        <v>116</v>
      </c>
      <c r="C32" s="308">
        <f>SUMIF('ПО КОРИСНИЦИМА'!$G$16:$G$1823,"Функција 133:",'ПО КОРИСНИЦИМА'!$H$16:$H$1823)</f>
        <v>4328545</v>
      </c>
      <c r="D32" s="308">
        <f>SUMIF('ПО КОРИСНИЦИМА'!$G$16:$G$1823,"Функција 133:",'ПО КОРИСНИЦИМА'!$I$16:$I$1823)</f>
        <v>0</v>
      </c>
      <c r="E32" s="319">
        <v>0</v>
      </c>
      <c r="F32" s="308">
        <f>SUMIF('ПО КОРИСНИЦИМА'!$G$16:$G$1823,"Функција 133:",'ПО КОРИСНИЦИМА'!$L$16:$L$1823)</f>
        <v>8291120.1600000001</v>
      </c>
      <c r="G32" s="308">
        <f>SUMIF('ПО КОРИСНИЦИМА'!$G$16:$G$1823,"Функција 133:",'ПО КОРИСНИЦИМА'!$M$16:$M$1823)</f>
        <v>0</v>
      </c>
      <c r="H32" s="308">
        <v>0</v>
      </c>
      <c r="I32" s="318">
        <f t="shared" si="2"/>
        <v>12619665.16</v>
      </c>
      <c r="J32" s="374">
        <f t="shared" si="3"/>
        <v>0</v>
      </c>
      <c r="K32" s="318">
        <f>SUM(H32,E32)</f>
        <v>0</v>
      </c>
    </row>
    <row r="33" spans="1:11" x14ac:dyDescent="0.25">
      <c r="A33" s="92" t="s">
        <v>3896</v>
      </c>
      <c r="B33" s="93" t="s">
        <v>3897</v>
      </c>
      <c r="C33" s="308">
        <f>SUMIF('ПО КОРИСНИЦИМА'!$G$16:$G$1823,"Функција 140:",'ПО КОРИСНИЦИМА'!$H$16:$H$1823)</f>
        <v>0</v>
      </c>
      <c r="D33" s="308">
        <f>SUMIF('ПО КОРИСНИЦИМА'!$G$16:$G$1823,"Функција 140:",'ПО КОРИСНИЦИМА'!$H$16:$H$1823)</f>
        <v>0</v>
      </c>
      <c r="E33" s="319">
        <v>0</v>
      </c>
      <c r="F33" s="308">
        <f>SUMIF('ПО КОРИСНИЦИМА'!$G$16:$G$1823,"Функција 140:",'ПО КОРИСНИЦИМА'!$L$16:$L$1823)</f>
        <v>0</v>
      </c>
      <c r="G33" s="308">
        <f>SUMIF('ПО КОРИСНИЦИМА'!$G$16:$G$1823,"Функција 140:",'ПО КОРИСНИЦИМА'!$M$16:$M$1823)</f>
        <v>0</v>
      </c>
      <c r="H33" s="308">
        <v>0</v>
      </c>
      <c r="I33" s="318">
        <f t="shared" si="2"/>
        <v>0</v>
      </c>
      <c r="J33" s="374">
        <f t="shared" si="3"/>
        <v>0</v>
      </c>
      <c r="K33" s="318">
        <f>SUM(H33,E33)</f>
        <v>0</v>
      </c>
    </row>
    <row r="34" spans="1:11" x14ac:dyDescent="0.25">
      <c r="A34" s="92" t="s">
        <v>3898</v>
      </c>
      <c r="B34" s="93" t="s">
        <v>3899</v>
      </c>
      <c r="C34" s="308">
        <f>SUMIF('ПО КОРИСНИЦИМА'!$G$16:$G$1823,"Функција 150:",'ПО КОРИСНИЦИМА'!$H$16:$H$1823)</f>
        <v>0</v>
      </c>
      <c r="D34" s="308">
        <f>SUMIF('ПО КОРИСНИЦИМА'!$G$16:$G$1823,"Функција 150:",'ПО КОРИСНИЦИМА'!$H$16:$H$1823)</f>
        <v>0</v>
      </c>
      <c r="E34" s="319">
        <v>0</v>
      </c>
      <c r="F34" s="308">
        <f>SUMIF('ПО КОРИСНИЦИМА'!$G$16:$G$1823,"Функција 150:",'ПО КОРИСНИЦИМА'!$L$16:$L$1823)</f>
        <v>0</v>
      </c>
      <c r="G34" s="308">
        <f>SUMIF('ПО КОРИСНИЦИМА'!$G$16:$G$1823,"Функција 150:",'ПО КОРИСНИЦИМА'!$M$16:$M$1823)</f>
        <v>0</v>
      </c>
      <c r="H34" s="308">
        <v>0</v>
      </c>
      <c r="I34" s="318">
        <f t="shared" si="2"/>
        <v>0</v>
      </c>
      <c r="J34" s="374">
        <f t="shared" si="3"/>
        <v>0</v>
      </c>
      <c r="K34" s="318">
        <f>SUM(H34,E34)</f>
        <v>0</v>
      </c>
    </row>
    <row r="35" spans="1:11" ht="23.25" x14ac:dyDescent="0.25">
      <c r="A35" s="92" t="s">
        <v>3900</v>
      </c>
      <c r="B35" s="93" t="s">
        <v>3901</v>
      </c>
      <c r="C35" s="307">
        <f>SUMIF('ПО КОРИСНИЦИМА'!$G$16:$G$1823,"Функција 160:",'ПО КОРИСНИЦИМА'!$H$16:$H$1823)</f>
        <v>2361949</v>
      </c>
      <c r="D35" s="307">
        <f>SUMIF('ПО КОРИСНИЦИМА'!$G$16:$G$1823,"Функција 160:",'ПО КОРИСНИЦИМА'!$I$16:$I$1823)</f>
        <v>5726502.0199999996</v>
      </c>
      <c r="E35" s="319">
        <f>D35/C35</f>
        <v>2.4244816547690062</v>
      </c>
      <c r="F35" s="308">
        <f>SUMIF('ПО КОРИСНИЦИМА'!$G$16:$G$1823,"Функција 160:",'ПО КОРИСНИЦИМА'!$L$16:$L$1823)</f>
        <v>0</v>
      </c>
      <c r="G35" s="308">
        <f>SUMIF('ПО КОРИСНИЦИМА'!$G$16:$G$1823,"Функција 160:",'ПО КОРИСНИЦИМА'!$M$16:$M$1823)</f>
        <v>0</v>
      </c>
      <c r="H35" s="308">
        <v>0</v>
      </c>
      <c r="I35" s="382">
        <f t="shared" si="2"/>
        <v>2361949</v>
      </c>
      <c r="J35" s="375">
        <f t="shared" si="3"/>
        <v>5726502.0199999996</v>
      </c>
      <c r="K35" s="314">
        <f>J35/I35</f>
        <v>2.4244816547690062</v>
      </c>
    </row>
    <row r="36" spans="1:11" x14ac:dyDescent="0.25">
      <c r="A36" s="92" t="s">
        <v>3902</v>
      </c>
      <c r="B36" s="93" t="s">
        <v>3903</v>
      </c>
      <c r="C36" s="307">
        <f>SUMIF('ПО КОРИСНИЦИМА'!$G$16:$G$1823,"Функција 170:",'ПО КОРИСНИЦИМА'!$H$16:$H$1823)</f>
        <v>4690000</v>
      </c>
      <c r="D36" s="308">
        <f>SUMIF('ПО КОРИСНИЦИМА'!$G$16:$G$1823,"Функција 170:",'ПО КОРИСНИЦИМА'!$I$16:$I$1823)</f>
        <v>368782.57999999996</v>
      </c>
      <c r="E36" s="319">
        <v>0</v>
      </c>
      <c r="F36" s="308">
        <f>SUMIF('ПО КОРИСНИЦИМА'!$G$16:$G$1823,"Функција 170:",'ПО КОРИСНИЦИМА'!$L$16:$L$1823)</f>
        <v>0</v>
      </c>
      <c r="G36" s="308">
        <f>SUMIF('ПО КОРИСНИЦИМА'!$G$16:$G$1823,"Функција 170:",'ПО КОРИСНИЦИМА'!$M$16:$M$1823)</f>
        <v>0</v>
      </c>
      <c r="H36" s="308">
        <v>0</v>
      </c>
      <c r="I36" s="318">
        <f t="shared" si="2"/>
        <v>4690000</v>
      </c>
      <c r="J36" s="374">
        <f t="shared" si="3"/>
        <v>368782.57999999996</v>
      </c>
      <c r="K36" s="318">
        <f>SUM(H36,E36)</f>
        <v>0</v>
      </c>
    </row>
    <row r="37" spans="1:11" ht="23.25" x14ac:dyDescent="0.25">
      <c r="A37" s="92" t="s">
        <v>3904</v>
      </c>
      <c r="B37" s="93" t="s">
        <v>121</v>
      </c>
      <c r="C37" s="308">
        <f>SUMIF('ПО КОРИСНИЦИМА'!$G$16:$G$1823,"Функција 180:",'ПО КОРИСНИЦИМА'!$H$16:$H$1823)</f>
        <v>0</v>
      </c>
      <c r="D37" s="308">
        <f>SUMIF('ПО КОРИСНИЦИМА'!$G$16:$G$1823,"Функција 180:",'ПО КОРИСНИЦИМА'!$H$16:$H$1823)</f>
        <v>0</v>
      </c>
      <c r="E37" s="319">
        <v>0</v>
      </c>
      <c r="F37" s="308">
        <f>SUMIF('ПО КОРИСНИЦИМА'!$G$16:$G$1823,"Функција 180:",'ПО КОРИСНИЦИМА'!$L$16:$L$1823)</f>
        <v>0</v>
      </c>
      <c r="G37" s="308">
        <f>SUMIF('ПО КОРИСНИЦИМА'!$G$16:$G$1823,"Функција 180:",'ПО КОРИСНИЦИМА'!$M$16:$M$1823)</f>
        <v>0</v>
      </c>
      <c r="H37" s="308">
        <v>0</v>
      </c>
      <c r="I37" s="318">
        <f t="shared" si="2"/>
        <v>0</v>
      </c>
      <c r="J37" s="374">
        <f t="shared" si="3"/>
        <v>0</v>
      </c>
      <c r="K37" s="318">
        <f>SUM(H37,E37)</f>
        <v>0</v>
      </c>
    </row>
    <row r="38" spans="1:11" x14ac:dyDescent="0.25">
      <c r="A38" s="90" t="s">
        <v>3905</v>
      </c>
      <c r="B38" s="95" t="s">
        <v>128</v>
      </c>
      <c r="C38" s="324">
        <f>SUM(C39:C44)</f>
        <v>600000</v>
      </c>
      <c r="D38" s="324">
        <f>SUM(D39:D44)</f>
        <v>333216</v>
      </c>
      <c r="E38" s="315"/>
      <c r="F38" s="316">
        <f>SUM(F39:F44)</f>
        <v>0</v>
      </c>
      <c r="G38" s="316"/>
      <c r="H38" s="316">
        <v>0</v>
      </c>
      <c r="I38" s="385">
        <f>C38+F38</f>
        <v>600000</v>
      </c>
      <c r="J38" s="378"/>
      <c r="K38" s="320"/>
    </row>
    <row r="39" spans="1:11" x14ac:dyDescent="0.25">
      <c r="A39" s="92" t="s">
        <v>3906</v>
      </c>
      <c r="B39" s="93" t="s">
        <v>3907</v>
      </c>
      <c r="C39" s="308">
        <f>SUMIF('ПО КОРИСНИЦИМА'!$G$16:$G$1823,"Функција 310:",'ПО КОРИСНИЦИМА'!$H$16:$H$1823)</f>
        <v>0</v>
      </c>
      <c r="D39" s="308"/>
      <c r="E39" s="319"/>
      <c r="F39" s="308">
        <f>SUMIF('ПО КОРИСНИЦИМА'!$G$16:$G$1823,"Функција 310:",'ПО КОРИСНИЦИМА'!$L$16:$L$1823)</f>
        <v>0</v>
      </c>
      <c r="G39" s="308"/>
      <c r="H39" s="308">
        <v>0</v>
      </c>
      <c r="I39" s="318">
        <f t="shared" ref="I39:I44" si="4">SUM(F39,C39)</f>
        <v>0</v>
      </c>
      <c r="J39" s="374"/>
      <c r="K39" s="318"/>
    </row>
    <row r="40" spans="1:11" x14ac:dyDescent="0.25">
      <c r="A40" s="92" t="s">
        <v>3908</v>
      </c>
      <c r="B40" s="93" t="s">
        <v>3909</v>
      </c>
      <c r="C40" s="308">
        <f>SUMIF('ПО КОРИСНИЦИМА'!$G$16:$G$1823,"Функција 320:",'ПО КОРИСНИЦИМА'!$H$16:$H$1823)</f>
        <v>0</v>
      </c>
      <c r="D40" s="308"/>
      <c r="E40" s="319"/>
      <c r="F40" s="308">
        <f>SUMIF('ПО КОРИСНИЦИМА'!$G$16:$G$1823,"Функција 320:",'ПО КОРИСНИЦИМА'!$L$16:$L$1823)</f>
        <v>0</v>
      </c>
      <c r="G40" s="308"/>
      <c r="H40" s="308">
        <v>0</v>
      </c>
      <c r="I40" s="318">
        <f t="shared" si="4"/>
        <v>0</v>
      </c>
      <c r="J40" s="374"/>
      <c r="K40" s="318"/>
    </row>
    <row r="41" spans="1:11" x14ac:dyDescent="0.25">
      <c r="A41" s="92" t="s">
        <v>3910</v>
      </c>
      <c r="B41" s="93" t="s">
        <v>3911</v>
      </c>
      <c r="C41" s="308">
        <f>SUMIF('ПО КОРИСНИЦИМА'!$G$16:$G$1823,"Функција 330:",'ПО КОРИСНИЦИМА'!$H$16:$H$1823)</f>
        <v>0</v>
      </c>
      <c r="D41" s="308"/>
      <c r="E41" s="319"/>
      <c r="F41" s="308">
        <f>SUMIF('ПО КОРИСНИЦИМА'!$G$16:$G$1823,"Функција 330:",'ПО КОРИСНИЦИМА'!$L$16:$L$1823)</f>
        <v>0</v>
      </c>
      <c r="G41" s="308"/>
      <c r="H41" s="308">
        <v>0</v>
      </c>
      <c r="I41" s="318">
        <f t="shared" si="4"/>
        <v>0</v>
      </c>
      <c r="J41" s="374"/>
      <c r="K41" s="318"/>
    </row>
    <row r="42" spans="1:11" x14ac:dyDescent="0.25">
      <c r="A42" s="92" t="s">
        <v>3912</v>
      </c>
      <c r="B42" s="93" t="s">
        <v>3913</v>
      </c>
      <c r="C42" s="308">
        <f>SUMIF('ПО КОРИСНИЦИМА'!$G$16:$G$1823,"Функција 340:",'ПО КОРИСНИЦИМА'!$H$16:$H$1823)</f>
        <v>0</v>
      </c>
      <c r="D42" s="308"/>
      <c r="E42" s="319"/>
      <c r="F42" s="308">
        <f>SUMIF('ПО КОРИСНИЦИМА'!$G$16:$G$1823,"Функција 340:",'ПО КОРИСНИЦИМА'!$L$16:$L$1823)</f>
        <v>0</v>
      </c>
      <c r="G42" s="308"/>
      <c r="H42" s="308">
        <v>0</v>
      </c>
      <c r="I42" s="318">
        <f t="shared" si="4"/>
        <v>0</v>
      </c>
      <c r="J42" s="374"/>
      <c r="K42" s="318"/>
    </row>
    <row r="43" spans="1:11" x14ac:dyDescent="0.25">
      <c r="A43" s="92" t="s">
        <v>3914</v>
      </c>
      <c r="B43" s="93" t="s">
        <v>3915</v>
      </c>
      <c r="C43" s="308">
        <f>SUMIF('ПО КОРИСНИЦИМА'!$G$16:$G$1823,"Функција 350:",'ПО КОРИСНИЦИМА'!$H$16:$H$1823)</f>
        <v>0</v>
      </c>
      <c r="D43" s="308"/>
      <c r="E43" s="319"/>
      <c r="F43" s="308">
        <f>SUMIF('ПО КОРИСНИЦИМА'!$G$16:$G$1823,"Функција 350:",'ПО КОРИСНИЦИМА'!$L$16:$L$1823)</f>
        <v>0</v>
      </c>
      <c r="G43" s="308"/>
      <c r="H43" s="308">
        <v>0</v>
      </c>
      <c r="I43" s="318">
        <f t="shared" si="4"/>
        <v>0</v>
      </c>
      <c r="J43" s="374"/>
      <c r="K43" s="318"/>
    </row>
    <row r="44" spans="1:11" ht="23.25" x14ac:dyDescent="0.25">
      <c r="A44" s="92" t="s">
        <v>3916</v>
      </c>
      <c r="B44" s="93" t="s">
        <v>3917</v>
      </c>
      <c r="C44" s="307">
        <f>SUMIF('ПО КОРИСНИЦИМА'!$G$16:$G$1823,"Функција 360:",'ПО КОРИСНИЦИМА'!$H$16:$H$1823)</f>
        <v>600000</v>
      </c>
      <c r="D44" s="307">
        <f>SUMIF('ПО КОРИСНИЦИМА'!$G$16:$G$1823,"Функција 360:",'ПО КОРИСНИЦИМА'!$I$16:$I$1823)</f>
        <v>333216</v>
      </c>
      <c r="E44" s="319"/>
      <c r="F44" s="308">
        <f>SUMIF('ПО КОРИСНИЦИМА'!$G$16:$G$1823,"Функција 360:",'ПО КОРИСНИЦИМА'!$L$16:$L$1823)</f>
        <v>0</v>
      </c>
      <c r="G44" s="308"/>
      <c r="H44" s="308">
        <v>0</v>
      </c>
      <c r="I44" s="318">
        <f t="shared" si="4"/>
        <v>600000</v>
      </c>
      <c r="J44" s="374">
        <f>SUM(G44,D44)</f>
        <v>333216</v>
      </c>
      <c r="K44" s="318"/>
    </row>
    <row r="45" spans="1:11" x14ac:dyDescent="0.25">
      <c r="A45" s="90" t="s">
        <v>3918</v>
      </c>
      <c r="B45" s="91" t="s">
        <v>134</v>
      </c>
      <c r="C45" s="324">
        <f>SUM(C46:C84)</f>
        <v>82662995.810000002</v>
      </c>
      <c r="D45" s="324" t="e">
        <f>SUM(D46:D84)</f>
        <v>#REF!</v>
      </c>
      <c r="E45" s="315" t="e">
        <f>D45/C45</f>
        <v>#REF!</v>
      </c>
      <c r="F45" s="316">
        <f>SUM(F46:F84)</f>
        <v>56783910.390000001</v>
      </c>
      <c r="G45" s="316" t="e">
        <f>SUM(G46:G84)</f>
        <v>#REF!</v>
      </c>
      <c r="H45" s="316">
        <v>0</v>
      </c>
      <c r="I45" s="383">
        <f>C45+F45</f>
        <v>139446906.19999999</v>
      </c>
      <c r="J45" s="376" t="e">
        <f>D45+G45</f>
        <v>#REF!</v>
      </c>
      <c r="K45" s="317" t="e">
        <f>J45/I45</f>
        <v>#REF!</v>
      </c>
    </row>
    <row r="46" spans="1:11" ht="23.25" x14ac:dyDescent="0.25">
      <c r="A46" s="92" t="s">
        <v>3765</v>
      </c>
      <c r="B46" s="96" t="s">
        <v>3919</v>
      </c>
      <c r="C46" s="308">
        <f>SUMIF('ПО КОРИСНИЦИМА'!$G$16:$G$1823,"Функција 410:",'ПО КОРИСНИЦИМА'!$H$16:$H$1823)</f>
        <v>0</v>
      </c>
      <c r="D46" s="308">
        <v>0</v>
      </c>
      <c r="E46" s="319">
        <v>0</v>
      </c>
      <c r="F46" s="308">
        <f>SUMIF('ПО КОРИСНИЦИМА'!$G$16:$G$1823,"Функција 410:",'ПО КОРИСНИЦИМА'!$L$16:$L$1823)</f>
        <v>0</v>
      </c>
      <c r="G46" s="308">
        <v>0</v>
      </c>
      <c r="H46" s="308">
        <v>0</v>
      </c>
      <c r="I46" s="318">
        <f t="shared" ref="I46:K48" si="5">SUM(F46,C46)</f>
        <v>0</v>
      </c>
      <c r="J46" s="374">
        <f t="shared" si="5"/>
        <v>0</v>
      </c>
      <c r="K46" s="318">
        <f t="shared" si="5"/>
        <v>0</v>
      </c>
    </row>
    <row r="47" spans="1:11" x14ac:dyDescent="0.25">
      <c r="A47" s="94" t="s">
        <v>3920</v>
      </c>
      <c r="B47" s="96" t="s">
        <v>136</v>
      </c>
      <c r="C47" s="308">
        <f>SUMIF('ПО КОРИСНИЦИМА'!$G$16:$G$1823,"Функција 411:",'ПО КОРИСНИЦИМА'!$H$16:$H$1823)</f>
        <v>4397737.8100000005</v>
      </c>
      <c r="D47" s="308">
        <f>SUMIF('ПО КОРИСНИЦИМА'!$G$16:$G$1823,"Функција 411:",'ПО КОРИСНИЦИМА'!$I$16:$I$1823)</f>
        <v>0</v>
      </c>
      <c r="E47" s="319">
        <v>0</v>
      </c>
      <c r="F47" s="308">
        <f>SUMIF('ПО КОРИСНИЦИМА'!$G$16:$G$1823,"Функција 411:",'ПО КОРИСНИЦИМА'!$L$16:$L$1823)</f>
        <v>19254118.390000001</v>
      </c>
      <c r="G47" s="308">
        <f>SUMIF('ПО КОРИСНИЦИМА'!$G$16:$G$1823,"Функција 411:",'ПО КОРИСНИЦИМА'!$M$16:$M$1823)</f>
        <v>0</v>
      </c>
      <c r="H47" s="308">
        <v>0</v>
      </c>
      <c r="I47" s="318">
        <f t="shared" si="5"/>
        <v>23651856.200000003</v>
      </c>
      <c r="J47" s="374">
        <f>SUM(G47,D47)</f>
        <v>0</v>
      </c>
      <c r="K47" s="318">
        <f t="shared" si="5"/>
        <v>0</v>
      </c>
    </row>
    <row r="48" spans="1:11" x14ac:dyDescent="0.25">
      <c r="A48" s="94" t="s">
        <v>3921</v>
      </c>
      <c r="B48" s="96" t="s">
        <v>137</v>
      </c>
      <c r="C48" s="308">
        <f>SUMIF('ПО КОРИСНИЦИМА'!$G$16:$G$1823,"Функција 412:",'ПО КОРИСНИЦИМА'!$H$16:$H$1823)</f>
        <v>4100000</v>
      </c>
      <c r="D48" s="308">
        <f>SUMIF('ПО КОРИСНИЦИМА'!$G$16:$G$1823,"Функција 412:",'ПО КОРИСНИЦИМА'!$I$16:$I$1823)</f>
        <v>3813773.6399999997</v>
      </c>
      <c r="E48" s="319">
        <v>0</v>
      </c>
      <c r="F48" s="308">
        <f>SUMIF('ПО КОРИСНИЦИМА'!$G$16:$G$1823,"Функција 412:",'ПО КОРИСНИЦИМА'!$L$16:$L$1823)</f>
        <v>0</v>
      </c>
      <c r="G48" s="308">
        <v>0</v>
      </c>
      <c r="H48" s="308">
        <v>0</v>
      </c>
      <c r="I48" s="318">
        <f t="shared" si="5"/>
        <v>4100000</v>
      </c>
      <c r="J48" s="374">
        <f t="shared" si="5"/>
        <v>3813773.6399999997</v>
      </c>
      <c r="K48" s="318">
        <f t="shared" si="5"/>
        <v>0</v>
      </c>
    </row>
    <row r="49" spans="1:11" x14ac:dyDescent="0.25">
      <c r="A49" s="92" t="s">
        <v>3778</v>
      </c>
      <c r="B49" s="93" t="s">
        <v>3922</v>
      </c>
      <c r="C49" s="307">
        <f>SUMIF('ПО КОРИСНИЦИМА'!$G$16:$G$1823,"Функција 420:",'ПО КОРИСНИЦИМА'!$H$16:$H$1823)</f>
        <v>18151648</v>
      </c>
      <c r="D49" s="307">
        <f>SUMIF('ПО КОРИСНИЦИМА'!$G$16:$G$1823,"Функција 420:",'ПО КОРИСНИЦИМА'!$I$16:$I$1823)</f>
        <v>13114962.02</v>
      </c>
      <c r="E49" s="319">
        <f>D49/C49</f>
        <v>0.72252183493201272</v>
      </c>
      <c r="F49" s="308">
        <f>SUMIF('ПО КОРИСНИЦИМА'!$G$16:$G$1823,"Функција 420:",'ПО КОРИСНИЦИМА'!$L$16:$L$1823)</f>
        <v>0</v>
      </c>
      <c r="G49" s="308">
        <v>0</v>
      </c>
      <c r="H49" s="308">
        <v>0</v>
      </c>
      <c r="I49" s="318">
        <f t="shared" ref="I49:I84" si="6">SUM(F49,C49)</f>
        <v>18151648</v>
      </c>
      <c r="J49" s="374">
        <f t="shared" ref="J49:J84" si="7">SUM(G49,D49)</f>
        <v>13114962.02</v>
      </c>
      <c r="K49" s="314">
        <f>J49/I49</f>
        <v>0.72252183493201272</v>
      </c>
    </row>
    <row r="50" spans="1:11" x14ac:dyDescent="0.25">
      <c r="A50" s="94" t="s">
        <v>3780</v>
      </c>
      <c r="B50" s="93" t="s">
        <v>139</v>
      </c>
      <c r="C50" s="308">
        <f>SUMIF('ПО КОРИСНИЦИМА'!$G$16:$G$1823,"Функција 421:",'ПО КОРИСНИЦИМА'!$H$16:$H$1823)</f>
        <v>0</v>
      </c>
      <c r="D50" s="308">
        <v>0</v>
      </c>
      <c r="E50" s="319">
        <v>0</v>
      </c>
      <c r="F50" s="308">
        <f>SUMIF('ПО КОРИСНИЦИМА'!$G$16:$G$1823,"Функција 421:",'ПО КОРИСНИЦИМА'!$L$16:$L$1823)</f>
        <v>0</v>
      </c>
      <c r="G50" s="308">
        <v>0</v>
      </c>
      <c r="H50" s="308">
        <v>0</v>
      </c>
      <c r="I50" s="318">
        <f t="shared" si="6"/>
        <v>0</v>
      </c>
      <c r="J50" s="374">
        <f t="shared" si="7"/>
        <v>0</v>
      </c>
      <c r="K50" s="318">
        <v>0</v>
      </c>
    </row>
    <row r="51" spans="1:11" x14ac:dyDescent="0.25">
      <c r="A51" s="94" t="s">
        <v>3923</v>
      </c>
      <c r="B51" s="93" t="s">
        <v>140</v>
      </c>
      <c r="C51" s="308">
        <f>SUMIF('ПО КОРИСНИЦИМА'!$G$16:$G$1823,"Функција 422:",'ПО КОРИСНИЦИМА'!$H$16:$H$1823)</f>
        <v>0</v>
      </c>
      <c r="D51" s="308">
        <v>0</v>
      </c>
      <c r="E51" s="319">
        <v>0</v>
      </c>
      <c r="F51" s="308">
        <f>SUMIF('ПО КОРИСНИЦИМА'!$G$16:$G$1823,"Функција 422:",'ПО КОРИСНИЦИМА'!$L$16:$L$1823)</f>
        <v>0</v>
      </c>
      <c r="G51" s="308">
        <v>0</v>
      </c>
      <c r="H51" s="308">
        <v>0</v>
      </c>
      <c r="I51" s="318">
        <f t="shared" si="6"/>
        <v>0</v>
      </c>
      <c r="J51" s="374">
        <f t="shared" si="7"/>
        <v>0</v>
      </c>
      <c r="K51" s="318">
        <v>0</v>
      </c>
    </row>
    <row r="52" spans="1:11" x14ac:dyDescent="0.25">
      <c r="A52" s="94" t="s">
        <v>3924</v>
      </c>
      <c r="B52" s="93" t="s">
        <v>141</v>
      </c>
      <c r="C52" s="308">
        <f>SUMIF('ПО КОРИСНИЦИМА'!$G$16:$G$1823,"Функција 423:",'ПО КОРИСНИЦИМА'!$H$16:$H$1823)</f>
        <v>0</v>
      </c>
      <c r="D52" s="308">
        <v>0</v>
      </c>
      <c r="E52" s="319">
        <v>0</v>
      </c>
      <c r="F52" s="308">
        <f>SUMIF('ПО КОРИСНИЦИМА'!$G$16:$G$1823,"Функција 423:",'ПО КОРИСНИЦИМА'!$L$16:$L$1823)</f>
        <v>0</v>
      </c>
      <c r="G52" s="308">
        <v>0</v>
      </c>
      <c r="H52" s="308">
        <v>0</v>
      </c>
      <c r="I52" s="318">
        <f t="shared" si="6"/>
        <v>0</v>
      </c>
      <c r="J52" s="374">
        <f t="shared" si="7"/>
        <v>0</v>
      </c>
      <c r="K52" s="318">
        <v>0</v>
      </c>
    </row>
    <row r="53" spans="1:11" x14ac:dyDescent="0.25">
      <c r="A53" s="92" t="s">
        <v>3790</v>
      </c>
      <c r="B53" s="93" t="s">
        <v>3925</v>
      </c>
      <c r="C53" s="308">
        <f>SUMIF('ПО КОРИСНИЦИМА'!$G$16:$G$1823,"Функција 430:",'ПО КОРИСНИЦИМА'!$H$16:$H$1823)</f>
        <v>0</v>
      </c>
      <c r="D53" s="308">
        <v>0</v>
      </c>
      <c r="E53" s="319">
        <v>0</v>
      </c>
      <c r="F53" s="308">
        <f>SUMIF('ПО КОРИСНИЦИМА'!$G$16:$G$1823,"Функција 430:",'ПО КОРИСНИЦИМА'!$L$16:$L$1823)</f>
        <v>0</v>
      </c>
      <c r="G53" s="308">
        <v>0</v>
      </c>
      <c r="H53" s="308">
        <v>0</v>
      </c>
      <c r="I53" s="318">
        <f t="shared" si="6"/>
        <v>0</v>
      </c>
      <c r="J53" s="374">
        <f t="shared" si="7"/>
        <v>0</v>
      </c>
      <c r="K53" s="318">
        <v>0</v>
      </c>
    </row>
    <row r="54" spans="1:11" x14ac:dyDescent="0.25">
      <c r="A54" s="94" t="s">
        <v>3926</v>
      </c>
      <c r="B54" s="93" t="s">
        <v>143</v>
      </c>
      <c r="C54" s="308">
        <f>SUMIF('ПО КОРИСНИЦИМА'!$G$16:$G$1823,"Функција 431:",'ПО КОРИСНИЦИМА'!$H$16:$H$1823)</f>
        <v>0</v>
      </c>
      <c r="D54" s="308">
        <v>0</v>
      </c>
      <c r="E54" s="319">
        <v>0</v>
      </c>
      <c r="F54" s="308">
        <f>SUMIF('ПО КОРИСНИЦИМА'!$G$16:$G$1823,"Функција 431:",'ПО КОРИСНИЦИМА'!$L$16:$L$1823)</f>
        <v>0</v>
      </c>
      <c r="G54" s="308">
        <v>0</v>
      </c>
      <c r="H54" s="308">
        <v>0</v>
      </c>
      <c r="I54" s="318">
        <f t="shared" si="6"/>
        <v>0</v>
      </c>
      <c r="J54" s="374">
        <f t="shared" si="7"/>
        <v>0</v>
      </c>
      <c r="K54" s="318">
        <v>0</v>
      </c>
    </row>
    <row r="55" spans="1:11" x14ac:dyDescent="0.25">
      <c r="A55" s="94" t="s">
        <v>3927</v>
      </c>
      <c r="B55" s="93" t="s">
        <v>144</v>
      </c>
      <c r="C55" s="308">
        <f>SUMIF('ПО КОРИСНИЦИМА'!$G$16:$G$1823,"Функција 432:",'ПО КОРИСНИЦИМА'!$H$16:$H$1823)</f>
        <v>0</v>
      </c>
      <c r="D55" s="308">
        <v>0</v>
      </c>
      <c r="E55" s="319">
        <v>0</v>
      </c>
      <c r="F55" s="308">
        <f>SUMIF('ПО КОРИСНИЦИМА'!$G$16:$G$1823,"Функција 432:",'ПО КОРИСНИЦИМА'!$L$16:$L$1823)</f>
        <v>0</v>
      </c>
      <c r="G55" s="308">
        <v>0</v>
      </c>
      <c r="H55" s="308">
        <v>0</v>
      </c>
      <c r="I55" s="318">
        <f t="shared" si="6"/>
        <v>0</v>
      </c>
      <c r="J55" s="374">
        <f t="shared" si="7"/>
        <v>0</v>
      </c>
      <c r="K55" s="318">
        <v>0</v>
      </c>
    </row>
    <row r="56" spans="1:11" x14ac:dyDescent="0.25">
      <c r="A56" s="94" t="s">
        <v>3928</v>
      </c>
      <c r="B56" s="93" t="s">
        <v>145</v>
      </c>
      <c r="C56" s="308">
        <f>SUMIF('ПО КОРИСНИЦИМА'!$G$16:$G$1823,"Функција 433:",'ПО КОРИСНИЦИМА'!$H$16:$H$1823)</f>
        <v>0</v>
      </c>
      <c r="D56" s="308">
        <v>0</v>
      </c>
      <c r="E56" s="319">
        <v>0</v>
      </c>
      <c r="F56" s="308">
        <f>SUMIF('ПО КОРИСНИЦИМА'!$G$16:$G$1823,"Функција 433:",'ПО КОРИСНИЦИМА'!$L$16:$L$1823)</f>
        <v>0</v>
      </c>
      <c r="G56" s="308">
        <v>0</v>
      </c>
      <c r="H56" s="308">
        <v>0</v>
      </c>
      <c r="I56" s="318">
        <f t="shared" si="6"/>
        <v>0</v>
      </c>
      <c r="J56" s="374">
        <f t="shared" si="7"/>
        <v>0</v>
      </c>
      <c r="K56" s="318">
        <v>0</v>
      </c>
    </row>
    <row r="57" spans="1:11" x14ac:dyDescent="0.25">
      <c r="A57" s="94" t="s">
        <v>3929</v>
      </c>
      <c r="B57" s="93" t="s">
        <v>146</v>
      </c>
      <c r="C57" s="308">
        <f>SUMIF('ПО КОРИСНИЦИМА'!$G$16:$G$1823,"Функција 434:",'ПО КОРИСНИЦИМА'!$H$16:$H$1823)</f>
        <v>0</v>
      </c>
      <c r="D57" s="308">
        <v>0</v>
      </c>
      <c r="E57" s="319">
        <v>0</v>
      </c>
      <c r="F57" s="308">
        <f>SUMIF('ПО КОРИСНИЦИМА'!$G$16:$G$1823,"Функција 434:",'ПО КОРИСНИЦИМА'!$L$16:$L$1823)</f>
        <v>0</v>
      </c>
      <c r="G57" s="308">
        <v>0</v>
      </c>
      <c r="H57" s="308">
        <v>0</v>
      </c>
      <c r="I57" s="318">
        <f t="shared" si="6"/>
        <v>0</v>
      </c>
      <c r="J57" s="374">
        <f t="shared" si="7"/>
        <v>0</v>
      </c>
      <c r="K57" s="318">
        <v>0</v>
      </c>
    </row>
    <row r="58" spans="1:11" x14ac:dyDescent="0.25">
      <c r="A58" s="94" t="s">
        <v>3930</v>
      </c>
      <c r="B58" s="93" t="s">
        <v>147</v>
      </c>
      <c r="C58" s="308">
        <f>SUMIF('ПО КОРИСНИЦИМА'!$G$16:$G$1823,"Функција 435:",'ПО КОРИСНИЦИМА'!$H$16:$H$1823)</f>
        <v>0</v>
      </c>
      <c r="D58" s="308">
        <v>0</v>
      </c>
      <c r="E58" s="319">
        <v>0</v>
      </c>
      <c r="F58" s="308">
        <f>SUMIF('ПО КОРИСНИЦИМА'!$G$16:$G$1823,"Функција 435:",'ПО КОРИСНИЦИМА'!$L$16:$L$1823)</f>
        <v>0</v>
      </c>
      <c r="G58" s="308">
        <v>0</v>
      </c>
      <c r="H58" s="308">
        <v>0</v>
      </c>
      <c r="I58" s="318">
        <f t="shared" si="6"/>
        <v>0</v>
      </c>
      <c r="J58" s="374">
        <f t="shared" si="7"/>
        <v>0</v>
      </c>
      <c r="K58" s="318">
        <v>0</v>
      </c>
    </row>
    <row r="59" spans="1:11" x14ac:dyDescent="0.25">
      <c r="A59" s="94" t="s">
        <v>3931</v>
      </c>
      <c r="B59" s="93" t="s">
        <v>148</v>
      </c>
      <c r="C59" s="308">
        <f>SUMIF('ПО КОРИСНИЦИМА'!$G$16:$G$1823,"Функција 436:",'ПО КОРИСНИЦИМА'!$H$16:$H$1823)</f>
        <v>0</v>
      </c>
      <c r="D59" s="308">
        <f>SUMIF('ПО КОРИСНИЦИМА'!$G$16:$G$1823,"Функција 436:",'ПО КОРИСНИЦИМА'!$I$16:$I$1823)</f>
        <v>1357200</v>
      </c>
      <c r="E59" s="319">
        <v>0</v>
      </c>
      <c r="F59" s="308">
        <f>SUMIF('ПО КОРИСНИЦИМА'!$G$16:$G$1823,"Функција 436:",'ПО КОРИСНИЦИМА'!$L$16:$L$1823)</f>
        <v>0</v>
      </c>
      <c r="G59" s="308">
        <v>0</v>
      </c>
      <c r="H59" s="308">
        <v>0</v>
      </c>
      <c r="I59" s="318">
        <f t="shared" si="6"/>
        <v>0</v>
      </c>
      <c r="J59" s="374">
        <f t="shared" si="7"/>
        <v>1357200</v>
      </c>
      <c r="K59" s="318">
        <v>0</v>
      </c>
    </row>
    <row r="60" spans="1:11" x14ac:dyDescent="0.25">
      <c r="A60" s="92" t="s">
        <v>3797</v>
      </c>
      <c r="B60" s="93" t="s">
        <v>3932</v>
      </c>
      <c r="C60" s="308">
        <f>SUMIF('ПО КОРИСНИЦИМА'!$G$16:$G$1823,"Функција 440:",'ПО КОРИСНИЦИМА'!$H$16:$H$1823)</f>
        <v>0</v>
      </c>
      <c r="D60" s="308">
        <v>0</v>
      </c>
      <c r="E60" s="319">
        <v>0</v>
      </c>
      <c r="F60" s="308">
        <f>SUMIF('ПО КОРИСНИЦИМА'!$G$16:$G$1823,"Функција 440:",'ПО КОРИСНИЦИМА'!$L$16:$L$1823)</f>
        <v>0</v>
      </c>
      <c r="G60" s="308">
        <v>0</v>
      </c>
      <c r="H60" s="308">
        <v>0</v>
      </c>
      <c r="I60" s="318">
        <f t="shared" si="6"/>
        <v>0</v>
      </c>
      <c r="J60" s="374">
        <f t="shared" si="7"/>
        <v>0</v>
      </c>
      <c r="K60" s="318">
        <v>0</v>
      </c>
    </row>
    <row r="61" spans="1:11" ht="23.25" x14ac:dyDescent="0.25">
      <c r="A61" s="94" t="s">
        <v>3933</v>
      </c>
      <c r="B61" s="93" t="s">
        <v>150</v>
      </c>
      <c r="C61" s="308">
        <f>SUMIF('ПО КОРИСНИЦИМА'!$G$16:$G$1823,"Функција 441:",'ПО КОРИСНИЦИМА'!$H$16:$H$1823)</f>
        <v>0</v>
      </c>
      <c r="D61" s="308">
        <v>0</v>
      </c>
      <c r="E61" s="319">
        <v>0</v>
      </c>
      <c r="F61" s="308">
        <f>SUMIF('ПО КОРИСНИЦИМА'!$G$16:$G$1823,"Функција 441:",'ПО КОРИСНИЦИМА'!$L$16:$L$1823)</f>
        <v>0</v>
      </c>
      <c r="G61" s="308">
        <v>0</v>
      </c>
      <c r="H61" s="308">
        <v>0</v>
      </c>
      <c r="I61" s="318">
        <f t="shared" si="6"/>
        <v>0</v>
      </c>
      <c r="J61" s="374">
        <f t="shared" si="7"/>
        <v>0</v>
      </c>
      <c r="K61" s="318">
        <v>0</v>
      </c>
    </row>
    <row r="62" spans="1:11" x14ac:dyDescent="0.25">
      <c r="A62" s="94" t="s">
        <v>3934</v>
      </c>
      <c r="B62" s="93" t="s">
        <v>151</v>
      </c>
      <c r="C62" s="308">
        <f>SUMIF('ПО КОРИСНИЦИМА'!$G$16:$G$1823,"Функција 442:",'ПО КОРИСНИЦИМА'!$H$16:$H$1823)</f>
        <v>0</v>
      </c>
      <c r="D62" s="308">
        <v>0</v>
      </c>
      <c r="E62" s="319">
        <v>0</v>
      </c>
      <c r="F62" s="308">
        <f>SUMIF('ПО КОРИСНИЦИМА'!$G$16:$G$1823,"Функција 442:",'ПО КОРИСНИЦИМА'!$L$16:$L$1823)</f>
        <v>0</v>
      </c>
      <c r="G62" s="308">
        <v>0</v>
      </c>
      <c r="H62" s="308">
        <v>0</v>
      </c>
      <c r="I62" s="318">
        <f t="shared" si="6"/>
        <v>0</v>
      </c>
      <c r="J62" s="374">
        <f t="shared" si="7"/>
        <v>0</v>
      </c>
      <c r="K62" s="318">
        <v>0</v>
      </c>
    </row>
    <row r="63" spans="1:11" x14ac:dyDescent="0.25">
      <c r="A63" s="94" t="s">
        <v>3935</v>
      </c>
      <c r="B63" s="93" t="s">
        <v>152</v>
      </c>
      <c r="C63" s="308">
        <f>SUMIF('ПО КОРИСНИЦИМА'!$G$16:$G$1823,"Функција 443:",'ПО КОРИСНИЦИМА'!$H$16:$H$1823)</f>
        <v>0</v>
      </c>
      <c r="D63" s="308">
        <v>0</v>
      </c>
      <c r="E63" s="319">
        <v>0</v>
      </c>
      <c r="F63" s="308">
        <f>SUMIF('ПО КОРИСНИЦИМА'!$G$16:$G$1823,"Функција 443:",'ПО КОРИСНИЦИМА'!$L$16:$L$1823)</f>
        <v>0</v>
      </c>
      <c r="G63" s="308">
        <v>0</v>
      </c>
      <c r="H63" s="308">
        <v>0</v>
      </c>
      <c r="I63" s="318">
        <f t="shared" si="6"/>
        <v>0</v>
      </c>
      <c r="J63" s="374">
        <f t="shared" si="7"/>
        <v>0</v>
      </c>
      <c r="K63" s="318">
        <v>0</v>
      </c>
    </row>
    <row r="64" spans="1:11" x14ac:dyDescent="0.25">
      <c r="A64" s="92" t="s">
        <v>3803</v>
      </c>
      <c r="B64" s="93" t="s">
        <v>3936</v>
      </c>
      <c r="C64" s="308">
        <f>SUMIF('ПО КОРИСНИЦИМА'!$G$16:$G$1823,"Функција 450:",'ПО КОРИСНИЦИМА'!$H$16:$H$1823)</f>
        <v>0</v>
      </c>
      <c r="D64" s="308">
        <v>0</v>
      </c>
      <c r="E64" s="319">
        <v>0</v>
      </c>
      <c r="F64" s="308">
        <f>SUMIF('ПО КОРИСНИЦИМА'!$G$16:$G$1823,"Функција 450:",'ПО КОРИСНИЦИМА'!$L$16:$L$1823)</f>
        <v>0</v>
      </c>
      <c r="G64" s="308">
        <v>0</v>
      </c>
      <c r="H64" s="308">
        <v>0</v>
      </c>
      <c r="I64" s="318">
        <f t="shared" si="6"/>
        <v>0</v>
      </c>
      <c r="J64" s="374">
        <f t="shared" si="7"/>
        <v>0</v>
      </c>
      <c r="K64" s="318">
        <v>0</v>
      </c>
    </row>
    <row r="65" spans="1:11" x14ac:dyDescent="0.25">
      <c r="A65" s="97" t="s">
        <v>3937</v>
      </c>
      <c r="B65" s="93" t="s">
        <v>154</v>
      </c>
      <c r="C65" s="308">
        <f>SUMIF('ПО КОРИСНИЦИМА'!$G$16:$G$1823,"Функција 451:",'ПО КОРИСНИЦИМА'!$H$16:$H$1823)</f>
        <v>45507444</v>
      </c>
      <c r="D65" s="308" t="e">
        <f>SUMIF('ПО КОРИСНИЦИМА'!$G$16:$G$1823,"Функција 451:",'ПО КОРИСНИЦИМА'!$I$16:$I$1823)</f>
        <v>#REF!</v>
      </c>
      <c r="E65" s="319">
        <v>0</v>
      </c>
      <c r="F65" s="308">
        <f>SUMIF('ПО КОРИСНИЦИМА'!$G$16:$G$1823,"Функција 451:",'ПО КОРИСНИЦИМА'!$L$16:$L$1823)</f>
        <v>12529792</v>
      </c>
      <c r="G65" s="308" t="e">
        <f>SUMIF('ПО КОРИСНИЦИМА'!$G$16:$G$1823,"Функција 451:",'ПО КОРИСНИЦИМА'!$M$16:$M$1823)</f>
        <v>#REF!</v>
      </c>
      <c r="H65" s="308">
        <v>0</v>
      </c>
      <c r="I65" s="318">
        <f t="shared" si="6"/>
        <v>58037236</v>
      </c>
      <c r="J65" s="374" t="e">
        <f t="shared" si="7"/>
        <v>#REF!</v>
      </c>
      <c r="K65" s="318">
        <v>0</v>
      </c>
    </row>
    <row r="66" spans="1:11" x14ac:dyDescent="0.25">
      <c r="A66" s="97" t="s">
        <v>3859</v>
      </c>
      <c r="B66" s="93" t="s">
        <v>155</v>
      </c>
      <c r="C66" s="308">
        <f>SUMIF('ПО КОРИСНИЦИМА'!$G$16:$G$1823,"Функција 452:",'ПО КОРИСНИЦИМА'!$H$16:$H$1823)</f>
        <v>0</v>
      </c>
      <c r="D66" s="308">
        <v>0</v>
      </c>
      <c r="E66" s="319">
        <v>0</v>
      </c>
      <c r="F66" s="308">
        <f>SUMIF('ПО КОРИСНИЦИМА'!$G$16:$G$1823,"Функција 452:",'ПО КОРИСНИЦИМА'!$L$16:$L$1823)</f>
        <v>0</v>
      </c>
      <c r="G66" s="308">
        <v>0</v>
      </c>
      <c r="H66" s="308">
        <v>0</v>
      </c>
      <c r="I66" s="318">
        <f t="shared" si="6"/>
        <v>0</v>
      </c>
      <c r="J66" s="374">
        <f t="shared" si="7"/>
        <v>0</v>
      </c>
      <c r="K66" s="318">
        <v>0</v>
      </c>
    </row>
    <row r="67" spans="1:11" x14ac:dyDescent="0.25">
      <c r="A67" s="97" t="s">
        <v>3938</v>
      </c>
      <c r="B67" s="93" t="s">
        <v>156</v>
      </c>
      <c r="C67" s="308">
        <f>SUMIF('ПО КОРИСНИЦИМА'!$G$16:$G$1823,"Функција 453:",'ПО КОРИСНИЦИМА'!$H$16:$H$1823)</f>
        <v>0</v>
      </c>
      <c r="D67" s="308">
        <v>0</v>
      </c>
      <c r="E67" s="319">
        <v>0</v>
      </c>
      <c r="F67" s="308">
        <f>SUMIF('ПО КОРИСНИЦИМА'!$G$16:$G$1823,"Функција 453:",'ПО КОРИСНИЦИМА'!$L$16:$L$1823)</f>
        <v>0</v>
      </c>
      <c r="G67" s="308">
        <v>0</v>
      </c>
      <c r="H67" s="308">
        <v>0</v>
      </c>
      <c r="I67" s="318">
        <f t="shared" si="6"/>
        <v>0</v>
      </c>
      <c r="J67" s="374">
        <f t="shared" si="7"/>
        <v>0</v>
      </c>
      <c r="K67" s="318">
        <v>0</v>
      </c>
    </row>
    <row r="68" spans="1:11" x14ac:dyDescent="0.25">
      <c r="A68" s="97" t="s">
        <v>3939</v>
      </c>
      <c r="B68" s="93" t="s">
        <v>157</v>
      </c>
      <c r="C68" s="308">
        <f>SUMIF('ПО КОРИСНИЦИМА'!$G$16:$G$1823,"Функција 454:",'ПО КОРИСНИЦИМА'!$H$16:$H$1823)</f>
        <v>0</v>
      </c>
      <c r="D68" s="308">
        <v>0</v>
      </c>
      <c r="E68" s="319">
        <v>0</v>
      </c>
      <c r="F68" s="308">
        <f>SUMIF('ПО КОРИСНИЦИМА'!$G$16:$G$1823,"Функција 454:",'ПО КОРИСНИЦИМА'!$L$16:$L$1823)</f>
        <v>0</v>
      </c>
      <c r="G68" s="308">
        <v>0</v>
      </c>
      <c r="H68" s="308">
        <v>0</v>
      </c>
      <c r="I68" s="318">
        <f t="shared" si="6"/>
        <v>0</v>
      </c>
      <c r="J68" s="374">
        <f t="shared" si="7"/>
        <v>0</v>
      </c>
      <c r="K68" s="318">
        <v>0</v>
      </c>
    </row>
    <row r="69" spans="1:11" x14ac:dyDescent="0.25">
      <c r="A69" s="97" t="s">
        <v>3940</v>
      </c>
      <c r="B69" s="93" t="s">
        <v>158</v>
      </c>
      <c r="C69" s="308">
        <f>SUMIF('ПО КОРИСНИЦИМА'!$G$16:$G$1823,"Функција 455:",'ПО КОРИСНИЦИМА'!$H$16:$H$1823)</f>
        <v>0</v>
      </c>
      <c r="D69" s="308">
        <v>0</v>
      </c>
      <c r="E69" s="319">
        <v>0</v>
      </c>
      <c r="F69" s="308">
        <f>SUMIF('ПО КОРИСНИЦИМА'!$G$16:$G$1823,"Функција 455:",'ПО КОРИСНИЦИМА'!$L$16:$L$1823)</f>
        <v>0</v>
      </c>
      <c r="G69" s="308">
        <v>0</v>
      </c>
      <c r="H69" s="308">
        <v>0</v>
      </c>
      <c r="I69" s="318">
        <f t="shared" si="6"/>
        <v>0</v>
      </c>
      <c r="J69" s="374">
        <f t="shared" si="7"/>
        <v>0</v>
      </c>
      <c r="K69" s="318">
        <v>0</v>
      </c>
    </row>
    <row r="70" spans="1:11" x14ac:dyDescent="0.25">
      <c r="A70" s="92" t="s">
        <v>3808</v>
      </c>
      <c r="B70" s="93" t="s">
        <v>3941</v>
      </c>
      <c r="C70" s="308">
        <f>SUMIF('ПО КОРИСНИЦИМА'!$G$16:$G$1823,"Функција 460:",'ПО КОРИСНИЦИМА'!$H$16:$H$1823)</f>
        <v>0</v>
      </c>
      <c r="D70" s="308">
        <v>0</v>
      </c>
      <c r="E70" s="319">
        <v>0</v>
      </c>
      <c r="F70" s="308">
        <f>SUMIF('ПО КОРИСНИЦИМА'!$G$16:$G$1823,"Функција 460:",'ПО КОРИСНИЦИМА'!$L$16:$L$1823)</f>
        <v>0</v>
      </c>
      <c r="G70" s="308">
        <v>0</v>
      </c>
      <c r="H70" s="308">
        <v>0</v>
      </c>
      <c r="I70" s="318">
        <f t="shared" si="6"/>
        <v>0</v>
      </c>
      <c r="J70" s="374">
        <f t="shared" si="7"/>
        <v>0</v>
      </c>
      <c r="K70" s="318">
        <v>0</v>
      </c>
    </row>
    <row r="71" spans="1:11" x14ac:dyDescent="0.25">
      <c r="A71" s="92" t="s">
        <v>3815</v>
      </c>
      <c r="B71" s="93" t="s">
        <v>3942</v>
      </c>
      <c r="C71" s="308">
        <f>SUMIF('ПО КОРИСНИЦИМА'!$G$16:$G$1823,"Функција 470:",'ПО КОРИСНИЦИМА'!$H$16:$H$1823)</f>
        <v>0</v>
      </c>
      <c r="D71" s="308">
        <v>0</v>
      </c>
      <c r="E71" s="319">
        <v>0</v>
      </c>
      <c r="F71" s="308">
        <f>SUMIF('ПО КОРИСНИЦИМА'!$G$16:$G$1823,"Функција 470:",'ПО КОРИСНИЦИМА'!$L$16:$L$1823)</f>
        <v>0</v>
      </c>
      <c r="G71" s="308">
        <v>0</v>
      </c>
      <c r="H71" s="308">
        <v>0</v>
      </c>
      <c r="I71" s="318">
        <f t="shared" si="6"/>
        <v>0</v>
      </c>
      <c r="J71" s="374">
        <f t="shared" si="7"/>
        <v>0</v>
      </c>
      <c r="K71" s="318">
        <v>0</v>
      </c>
    </row>
    <row r="72" spans="1:11" x14ac:dyDescent="0.25">
      <c r="A72" s="94" t="s">
        <v>3943</v>
      </c>
      <c r="B72" s="93" t="s">
        <v>161</v>
      </c>
      <c r="C72" s="308">
        <f>SUMIF('ПО КОРИСНИЦИМА'!$G$16:$G$1823,"Функција 471:",'ПО КОРИСНИЦИМА'!$H$16:$H$1823)</f>
        <v>0</v>
      </c>
      <c r="D72" s="308">
        <v>0</v>
      </c>
      <c r="E72" s="319">
        <v>0</v>
      </c>
      <c r="F72" s="308">
        <f>SUMIF('ПО КОРИСНИЦИМА'!$G$16:$G$1823,"Функција 471:",'ПО КОРИСНИЦИМА'!$L$16:$L$1823)</f>
        <v>0</v>
      </c>
      <c r="G72" s="308">
        <v>0</v>
      </c>
      <c r="H72" s="308">
        <v>0</v>
      </c>
      <c r="I72" s="318">
        <f t="shared" si="6"/>
        <v>0</v>
      </c>
      <c r="J72" s="374">
        <f t="shared" si="7"/>
        <v>0</v>
      </c>
      <c r="K72" s="318">
        <v>0</v>
      </c>
    </row>
    <row r="73" spans="1:11" x14ac:dyDescent="0.25">
      <c r="A73" s="94" t="s">
        <v>3944</v>
      </c>
      <c r="B73" s="93" t="s">
        <v>162</v>
      </c>
      <c r="C73" s="308">
        <f>SUMIF('ПО КОРИСНИЦИМА'!$G$16:$G$1823,"Функција 472:",'ПО КОРИСНИЦИМА'!$H$16:$H$1823)</f>
        <v>0</v>
      </c>
      <c r="D73" s="308">
        <v>0</v>
      </c>
      <c r="E73" s="319">
        <v>0</v>
      </c>
      <c r="F73" s="308">
        <f>SUMIF('ПО КОРИСНИЦИМА'!$G$16:$G$1823,"Функција 472:",'ПО КОРИСНИЦИМА'!$L$16:$L$1823)</f>
        <v>0</v>
      </c>
      <c r="G73" s="308">
        <v>0</v>
      </c>
      <c r="H73" s="308">
        <v>0</v>
      </c>
      <c r="I73" s="318">
        <f t="shared" si="6"/>
        <v>0</v>
      </c>
      <c r="J73" s="374">
        <f t="shared" si="7"/>
        <v>0</v>
      </c>
      <c r="K73" s="318">
        <v>0</v>
      </c>
    </row>
    <row r="74" spans="1:11" x14ac:dyDescent="0.25">
      <c r="A74" s="94" t="s">
        <v>3945</v>
      </c>
      <c r="B74" s="93" t="s">
        <v>163</v>
      </c>
      <c r="C74" s="308">
        <f>SUMIF('ПО КОРИСНИЦИМА'!$G$16:$G$1823,"Функција 473:",'ПО КОРИСНИЦИМА'!$H$16:$H$1823)</f>
        <v>10506166</v>
      </c>
      <c r="D74" s="308">
        <f>SUMIF('ПО КОРИСНИЦИМА'!$G$16:$G$1823,"Функција 473:",'ПО КОРИСНИЦИМА'!$I$16:$I$1823)</f>
        <v>1605617.67</v>
      </c>
      <c r="E74" s="319">
        <v>0</v>
      </c>
      <c r="F74" s="308">
        <f>SUMIF('ПО КОРИСНИЦИМА'!$G$16:$G$1823,"Функција 473:",'ПО КОРИСНИЦИМА'!$L$16:$L$1823)</f>
        <v>0</v>
      </c>
      <c r="G74" s="308">
        <v>0</v>
      </c>
      <c r="H74" s="308">
        <v>0</v>
      </c>
      <c r="I74" s="318">
        <f t="shared" si="6"/>
        <v>10506166</v>
      </c>
      <c r="J74" s="374">
        <f t="shared" si="7"/>
        <v>1605617.67</v>
      </c>
      <c r="K74" s="318">
        <v>0</v>
      </c>
    </row>
    <row r="75" spans="1:11" x14ac:dyDescent="0.25">
      <c r="A75" s="94" t="s">
        <v>3946</v>
      </c>
      <c r="B75" s="93" t="s">
        <v>164</v>
      </c>
      <c r="C75" s="308">
        <f>SUMIF('ПО КОРИСНИЦИМА'!$G$16:$G$1823,"Функција 474:",'ПО КОРИСНИЦИМА'!$H$16:$H$1823)</f>
        <v>0</v>
      </c>
      <c r="D75" s="308">
        <v>0</v>
      </c>
      <c r="E75" s="319">
        <v>0</v>
      </c>
      <c r="F75" s="308">
        <f>SUMIF('ПО КОРИСНИЦИМА'!$G$16:$G$1823,"Функција 474:",'ПО КОРИСНИЦИМА'!$L$16:$L$1823)</f>
        <v>0</v>
      </c>
      <c r="G75" s="308">
        <v>0</v>
      </c>
      <c r="H75" s="308">
        <v>0</v>
      </c>
      <c r="I75" s="318">
        <f t="shared" si="6"/>
        <v>0</v>
      </c>
      <c r="J75" s="374">
        <f t="shared" si="7"/>
        <v>0</v>
      </c>
      <c r="K75" s="318">
        <v>0</v>
      </c>
    </row>
    <row r="76" spans="1:11" x14ac:dyDescent="0.25">
      <c r="A76" s="92" t="s">
        <v>3818</v>
      </c>
      <c r="B76" s="93" t="s">
        <v>3947</v>
      </c>
      <c r="C76" s="308">
        <f>SUMIF('ПО КОРИСНИЦИМА'!$G$16:$G$1823,"Функција 480:",'ПО КОРИСНИЦИМА'!$H$16:$H$1823)</f>
        <v>0</v>
      </c>
      <c r="D76" s="308">
        <v>0</v>
      </c>
      <c r="E76" s="319">
        <v>0</v>
      </c>
      <c r="F76" s="308">
        <f>SUMIF('ПО КОРИСНИЦИМА'!$G$16:$G$1823,"Функција 480:",'ПО КОРИСНИЦИМА'!$L$16:$L$1823)</f>
        <v>0</v>
      </c>
      <c r="G76" s="308">
        <v>0</v>
      </c>
      <c r="H76" s="308">
        <v>0</v>
      </c>
      <c r="I76" s="318">
        <f t="shared" si="6"/>
        <v>0</v>
      </c>
      <c r="J76" s="374">
        <f t="shared" si="7"/>
        <v>0</v>
      </c>
      <c r="K76" s="318">
        <v>0</v>
      </c>
    </row>
    <row r="77" spans="1:11" ht="34.5" x14ac:dyDescent="0.25">
      <c r="A77" s="94" t="s">
        <v>3948</v>
      </c>
      <c r="B77" s="93" t="s">
        <v>166</v>
      </c>
      <c r="C77" s="308">
        <f>SUMIF('ПО КОРИСНИЦИМА'!$G$16:$G$1823,"Функција 481:",'ПО КОРИСНИЦИМА'!$H$16:$H$1823)</f>
        <v>0</v>
      </c>
      <c r="D77" s="308">
        <v>0</v>
      </c>
      <c r="E77" s="319">
        <v>0</v>
      </c>
      <c r="F77" s="308">
        <f>SUMIF('ПО КОРИСНИЦИМА'!$G$16:$G$1823,"Функција 481:",'ПО КОРИСНИЦИМА'!$L$16:$L$1823)</f>
        <v>0</v>
      </c>
      <c r="G77" s="308">
        <v>0</v>
      </c>
      <c r="H77" s="308">
        <v>0</v>
      </c>
      <c r="I77" s="318">
        <f t="shared" si="6"/>
        <v>0</v>
      </c>
      <c r="J77" s="374">
        <f t="shared" si="7"/>
        <v>0</v>
      </c>
      <c r="K77" s="318">
        <v>0</v>
      </c>
    </row>
    <row r="78" spans="1:11" ht="23.25" x14ac:dyDescent="0.25">
      <c r="A78" s="94" t="s">
        <v>3949</v>
      </c>
      <c r="B78" s="93" t="s">
        <v>167</v>
      </c>
      <c r="C78" s="308">
        <f>SUMIF('ПО КОРИСНИЦИМА'!$G$16:$G$1823,"Функција 482:",'ПО КОРИСНИЦИМА'!$H$16:$H$1823)</f>
        <v>0</v>
      </c>
      <c r="D78" s="308">
        <v>0</v>
      </c>
      <c r="E78" s="319">
        <v>0</v>
      </c>
      <c r="F78" s="308">
        <f>SUMIF('ПО КОРИСНИЦИМА'!$G$16:$G$1823,"Функција 482:",'ПО КОРИСНИЦИМА'!$L$16:$L$1823)</f>
        <v>0</v>
      </c>
      <c r="G78" s="308">
        <v>0</v>
      </c>
      <c r="H78" s="308">
        <v>0</v>
      </c>
      <c r="I78" s="318">
        <f t="shared" si="6"/>
        <v>0</v>
      </c>
      <c r="J78" s="374">
        <f t="shared" si="7"/>
        <v>0</v>
      </c>
      <c r="K78" s="318">
        <v>0</v>
      </c>
    </row>
    <row r="79" spans="1:11" x14ac:dyDescent="0.25">
      <c r="A79" s="94" t="s">
        <v>3950</v>
      </c>
      <c r="B79" s="93" t="s">
        <v>168</v>
      </c>
      <c r="C79" s="308">
        <f>SUMIF('ПО КОРИСНИЦИМА'!$G$16:$G$1823,"Функција 483:",'ПО КОРИСНИЦИМА'!$H$16:$H$1823)</f>
        <v>0</v>
      </c>
      <c r="D79" s="308">
        <v>0</v>
      </c>
      <c r="E79" s="319">
        <v>0</v>
      </c>
      <c r="F79" s="308">
        <f>SUMIF('ПО КОРИСНИЦИМА'!$G$16:$G$1823,"Функција 483:",'ПО КОРИСНИЦИМА'!$L$16:$L$1823)</f>
        <v>0</v>
      </c>
      <c r="G79" s="308">
        <v>0</v>
      </c>
      <c r="H79" s="308">
        <v>0</v>
      </c>
      <c r="I79" s="318">
        <f t="shared" si="6"/>
        <v>0</v>
      </c>
      <c r="J79" s="374">
        <f t="shared" si="7"/>
        <v>0</v>
      </c>
      <c r="K79" s="318">
        <v>0</v>
      </c>
    </row>
    <row r="80" spans="1:11" ht="23.25" x14ac:dyDescent="0.25">
      <c r="A80" s="94" t="s">
        <v>3951</v>
      </c>
      <c r="B80" s="93" t="s">
        <v>169</v>
      </c>
      <c r="C80" s="308">
        <f>SUMIF('ПО КОРИСНИЦИМА'!$G$16:$G$1823,"Функција 484:",'ПО КОРИСНИЦИМА'!$H$16:$H$1823)</f>
        <v>0</v>
      </c>
      <c r="D80" s="308">
        <v>0</v>
      </c>
      <c r="E80" s="319">
        <v>0</v>
      </c>
      <c r="F80" s="308">
        <f>SUMIF('ПО КОРИСНИЦИМА'!$G$16:$G$1823,"Функција 484:",'ПО КОРИСНИЦИМА'!$L$16:$L$1823)</f>
        <v>0</v>
      </c>
      <c r="G80" s="308">
        <v>0</v>
      </c>
      <c r="H80" s="308">
        <v>0</v>
      </c>
      <c r="I80" s="318">
        <f t="shared" si="6"/>
        <v>0</v>
      </c>
      <c r="J80" s="374">
        <f t="shared" si="7"/>
        <v>0</v>
      </c>
      <c r="K80" s="318">
        <v>0</v>
      </c>
    </row>
    <row r="81" spans="1:11" x14ac:dyDescent="0.25">
      <c r="A81" s="94" t="s">
        <v>3952</v>
      </c>
      <c r="B81" s="93" t="s">
        <v>170</v>
      </c>
      <c r="C81" s="308">
        <f>SUMIF('ПО КОРИСНИЦИМА'!$G$16:$G$1823,"Функција 485:",'ПО КОРИСНИЦИМА'!$H$16:$H$1823)</f>
        <v>0</v>
      </c>
      <c r="D81" s="308">
        <v>0</v>
      </c>
      <c r="E81" s="319">
        <v>0</v>
      </c>
      <c r="F81" s="308">
        <f>SUMIF('ПО КОРИСНИЦИМА'!$G$16:$G$1823,"Функција 485:",'ПО КОРИСНИЦИМА'!$L$16:$L$1823)</f>
        <v>0</v>
      </c>
      <c r="G81" s="308">
        <v>0</v>
      </c>
      <c r="H81" s="308">
        <v>0</v>
      </c>
      <c r="I81" s="318">
        <f t="shared" si="6"/>
        <v>0</v>
      </c>
      <c r="J81" s="374">
        <f t="shared" si="7"/>
        <v>0</v>
      </c>
      <c r="K81" s="318">
        <v>0</v>
      </c>
    </row>
    <row r="82" spans="1:11" x14ac:dyDescent="0.25">
      <c r="A82" s="94" t="s">
        <v>3953</v>
      </c>
      <c r="B82" s="93" t="s">
        <v>171</v>
      </c>
      <c r="C82" s="308">
        <f>SUMIF('ПО КОРИСНИЦИМА'!$G$16:$G$1823,"Функција 486:",'ПО КОРИСНИЦИМА'!$H$16:$H$1823)</f>
        <v>0</v>
      </c>
      <c r="D82" s="308">
        <v>0</v>
      </c>
      <c r="E82" s="319">
        <v>0</v>
      </c>
      <c r="F82" s="308">
        <f>SUMIF('ПО КОРИСНИЦИМА'!$G$16:$G$1823,"Функција 486:",'ПО КОРИСНИЦИМА'!$L$16:$L$1823)</f>
        <v>0</v>
      </c>
      <c r="G82" s="308">
        <v>0</v>
      </c>
      <c r="H82" s="308">
        <v>0</v>
      </c>
      <c r="I82" s="318">
        <f t="shared" si="6"/>
        <v>0</v>
      </c>
      <c r="J82" s="374">
        <f t="shared" si="7"/>
        <v>0</v>
      </c>
      <c r="K82" s="318">
        <v>0</v>
      </c>
    </row>
    <row r="83" spans="1:11" x14ac:dyDescent="0.25">
      <c r="A83" s="94" t="s">
        <v>3954</v>
      </c>
      <c r="B83" s="93" t="s">
        <v>172</v>
      </c>
      <c r="C83" s="308">
        <f>SUMIF('ПО КОРИСНИЦИМА'!$G$16:$G$1823,"Функција 487:",'ПО КОРИСНИЦИМА'!$H$16:$H$1823)</f>
        <v>0</v>
      </c>
      <c r="D83" s="308">
        <v>0</v>
      </c>
      <c r="E83" s="319">
        <v>0</v>
      </c>
      <c r="F83" s="308">
        <f>SUMIF('ПО КОРИСНИЦИМА'!$G$16:$G$1823,"Функција 487:",'ПО КОРИСНИЦИМА'!$L$16:$L$1823)</f>
        <v>25000000</v>
      </c>
      <c r="G83" s="308">
        <v>0</v>
      </c>
      <c r="H83" s="308">
        <v>0</v>
      </c>
      <c r="I83" s="318">
        <f t="shared" si="6"/>
        <v>25000000</v>
      </c>
      <c r="J83" s="374">
        <f t="shared" si="7"/>
        <v>0</v>
      </c>
      <c r="K83" s="318">
        <v>0</v>
      </c>
    </row>
    <row r="84" spans="1:11" ht="23.25" x14ac:dyDescent="0.25">
      <c r="A84" s="92" t="s">
        <v>3955</v>
      </c>
      <c r="B84" s="93" t="s">
        <v>173</v>
      </c>
      <c r="C84" s="308">
        <f>SUMIF('ПО КОРИСНИЦИМА'!$G$16:$G$1823,"Функција 490:",'ПО КОРИСНИЦИМА'!$H$16:$H$1823)</f>
        <v>0</v>
      </c>
      <c r="D84" s="308">
        <v>0</v>
      </c>
      <c r="E84" s="319">
        <v>0</v>
      </c>
      <c r="F84" s="308">
        <f>SUMIF('ПО КОРИСНИЦИМА'!$G$16:$G$1823,"Функција 490:",'ПО КОРИСНИЦИМА'!$L$16:$L$1823)</f>
        <v>0</v>
      </c>
      <c r="G84" s="308">
        <v>0</v>
      </c>
      <c r="H84" s="308">
        <v>0</v>
      </c>
      <c r="I84" s="318">
        <f t="shared" si="6"/>
        <v>0</v>
      </c>
      <c r="J84" s="374">
        <f t="shared" si="7"/>
        <v>0</v>
      </c>
      <c r="K84" s="318">
        <v>0</v>
      </c>
    </row>
    <row r="85" spans="1:11" x14ac:dyDescent="0.25">
      <c r="A85" s="90" t="s">
        <v>3956</v>
      </c>
      <c r="B85" s="95" t="s">
        <v>174</v>
      </c>
      <c r="C85" s="324">
        <f>SUM(C86:C91)</f>
        <v>6857193</v>
      </c>
      <c r="D85" s="324">
        <f>SUM(D86:D91)</f>
        <v>5226624.3600000003</v>
      </c>
      <c r="E85" s="315">
        <f>D85/C85</f>
        <v>0.76221047883587356</v>
      </c>
      <c r="F85" s="316">
        <f>SUM(F86:F91)</f>
        <v>0</v>
      </c>
      <c r="G85" s="316">
        <v>0</v>
      </c>
      <c r="H85" s="316">
        <v>0</v>
      </c>
      <c r="I85" s="383">
        <f>C85+F85</f>
        <v>6857193</v>
      </c>
      <c r="J85" s="376">
        <f>D85+G85</f>
        <v>5226624.3600000003</v>
      </c>
      <c r="K85" s="317">
        <f>J85/I85</f>
        <v>0.76221047883587356</v>
      </c>
    </row>
    <row r="86" spans="1:11" x14ac:dyDescent="0.25">
      <c r="A86" s="92" t="s">
        <v>3830</v>
      </c>
      <c r="B86" s="93" t="s">
        <v>3957</v>
      </c>
      <c r="C86" s="308">
        <f>SUMIF('ПО КОРИСНИЦИМА'!$G$16:$G$1823,"Функција 510:",'ПО КОРИСНИЦИМА'!$H$16:$H$1823)</f>
        <v>5448996</v>
      </c>
      <c r="D86" s="308">
        <f>SUMIF('ПО КОРИСНИЦИМА'!$G$16:$G$1823,"Функција 510:",'ПО КОРИСНИЦИМА'!$I$16:$I$1823)</f>
        <v>4649389.5</v>
      </c>
      <c r="E86" s="319">
        <f>D86/C86</f>
        <v>0.8532561778353297</v>
      </c>
      <c r="F86" s="308">
        <f>SUMIF('ПО КОРИСНИЦИМА'!$G$16:$G$1823,"Функција 510:",'ПО КОРИСНИЦИМА'!$L$16:$L$1823)</f>
        <v>0</v>
      </c>
      <c r="G86" s="308">
        <v>0</v>
      </c>
      <c r="H86" s="308">
        <v>0</v>
      </c>
      <c r="I86" s="318">
        <f>SUM(F86,C86)</f>
        <v>5448996</v>
      </c>
      <c r="J86" s="374">
        <f>SUM(G86,D86)</f>
        <v>4649389.5</v>
      </c>
      <c r="K86" s="314">
        <f>J86/I86</f>
        <v>0.8532561778353297</v>
      </c>
    </row>
    <row r="87" spans="1:11" x14ac:dyDescent="0.25">
      <c r="A87" s="92" t="s">
        <v>3837</v>
      </c>
      <c r="B87" s="93" t="s">
        <v>3958</v>
      </c>
      <c r="C87" s="308">
        <f>SUMIF('ПО КОРИСНИЦИМА'!$G$16:$G$1823,"Функција 520:",'ПО КОРИСНИЦИМА'!$H$16:$H$1823)</f>
        <v>0</v>
      </c>
      <c r="D87" s="308">
        <v>0</v>
      </c>
      <c r="E87" s="319">
        <v>0</v>
      </c>
      <c r="F87" s="308">
        <f>SUMIF('ПО КОРИСНИЦИМА'!$G$16:$G$1823,"Функција 520:",'ПО КОРИСНИЦИМА'!$L$16:$L$1823)</f>
        <v>0</v>
      </c>
      <c r="G87" s="308">
        <v>0</v>
      </c>
      <c r="H87" s="308">
        <v>0</v>
      </c>
      <c r="I87" s="318">
        <f t="shared" ref="I87:J90" si="8">SUM(F87,C87)</f>
        <v>0</v>
      </c>
      <c r="J87" s="374">
        <f t="shared" si="8"/>
        <v>0</v>
      </c>
      <c r="K87" s="318"/>
    </row>
    <row r="88" spans="1:11" x14ac:dyDescent="0.25">
      <c r="A88" s="92" t="s">
        <v>3959</v>
      </c>
      <c r="B88" s="93" t="s">
        <v>3960</v>
      </c>
      <c r="C88" s="308">
        <f>SUMIF('ПО КОРИСНИЦИМА'!$G$16:$G$1823,"Функција 530:",'ПО КОРИСНИЦИМА'!$H$16:$H$1823)</f>
        <v>0</v>
      </c>
      <c r="D88" s="308">
        <v>0</v>
      </c>
      <c r="E88" s="319">
        <v>0</v>
      </c>
      <c r="F88" s="308">
        <f>SUMIF('ПО КОРИСНИЦИМА'!$G$16:$G$1823,"Функција 530:",'ПО КОРИСНИЦИМА'!$L$16:$L$1823)</f>
        <v>0</v>
      </c>
      <c r="G88" s="308">
        <v>0</v>
      </c>
      <c r="H88" s="308">
        <v>0</v>
      </c>
      <c r="I88" s="318">
        <f t="shared" si="8"/>
        <v>0</v>
      </c>
      <c r="J88" s="374">
        <f t="shared" si="8"/>
        <v>0</v>
      </c>
      <c r="K88" s="318"/>
    </row>
    <row r="89" spans="1:11" ht="23.25" x14ac:dyDescent="0.25">
      <c r="A89" s="92" t="s">
        <v>3842</v>
      </c>
      <c r="B89" s="93" t="s">
        <v>3961</v>
      </c>
      <c r="C89" s="308">
        <f>SUMIF('ПО КОРИСНИЦИМА'!$G$16:$G$1823,"Функција 540:",'ПО КОРИСНИЦИМА'!$H$16:$H$1823)</f>
        <v>808197</v>
      </c>
      <c r="D89" s="308">
        <f>SUMIF('ПО КОРИСНИЦИМА'!$G$16:$G$1823,"Функција 540:",'ПО КОРИСНИЦИМА'!$I$16:$I$1823)</f>
        <v>555634.86</v>
      </c>
      <c r="E89" s="319">
        <v>0</v>
      </c>
      <c r="F89" s="308">
        <f>SUMIF('ПО КОРИСНИЦИМА'!$G$16:$G$1823,"Функција 540:",'ПО КОРИСНИЦИМА'!$L$16:$L$1823)</f>
        <v>0</v>
      </c>
      <c r="G89" s="308">
        <v>0</v>
      </c>
      <c r="H89" s="308">
        <v>0</v>
      </c>
      <c r="I89" s="318">
        <f t="shared" si="8"/>
        <v>808197</v>
      </c>
      <c r="J89" s="374">
        <f t="shared" si="8"/>
        <v>555634.86</v>
      </c>
      <c r="K89" s="318">
        <f>J89/I89</f>
        <v>0.68749928544649386</v>
      </c>
    </row>
    <row r="90" spans="1:11" ht="23.25" x14ac:dyDescent="0.25">
      <c r="A90" s="92" t="s">
        <v>3962</v>
      </c>
      <c r="B90" s="93" t="s">
        <v>3963</v>
      </c>
      <c r="C90" s="308">
        <f>SUMIF('ПО КОРИСНИЦИМА'!$G$16:$G$1823,"Функција 550:",'ПО КОРИСНИЦИМА'!$H$16:$H$1823)</f>
        <v>0</v>
      </c>
      <c r="D90" s="308">
        <v>0</v>
      </c>
      <c r="E90" s="319">
        <v>0</v>
      </c>
      <c r="F90" s="308">
        <f>SUMIF('ПО КОРИСНИЦИМА'!$G$16:$G$1823,"Функција 550:",'ПО КОРИСНИЦИМА'!$L$16:$L$1823)</f>
        <v>0</v>
      </c>
      <c r="G90" s="308">
        <v>0</v>
      </c>
      <c r="H90" s="308">
        <v>0</v>
      </c>
      <c r="I90" s="318">
        <f t="shared" si="8"/>
        <v>0</v>
      </c>
      <c r="J90" s="374">
        <f t="shared" si="8"/>
        <v>0</v>
      </c>
      <c r="K90" s="318"/>
    </row>
    <row r="91" spans="1:11" ht="23.25" x14ac:dyDescent="0.25">
      <c r="A91" s="92" t="s">
        <v>3964</v>
      </c>
      <c r="B91" s="93" t="s">
        <v>180</v>
      </c>
      <c r="C91" s="307">
        <f>SUMIF('ПО КОРИСНИЦИМА'!$G$16:$G$1823,"Функција 560:",'ПО КОРИСНИЦИМА'!$H$16:$H$1823)</f>
        <v>600000</v>
      </c>
      <c r="D91" s="307">
        <f>SUMIF('ПО КОРИСНИЦИМА'!$G$16:$G$1823,"Функција 560:",'ПО КОРИСНИЦИМА'!$I$16:$I$1823)</f>
        <v>21600</v>
      </c>
      <c r="E91" s="319">
        <f>D91/C91</f>
        <v>3.5999999999999997E-2</v>
      </c>
      <c r="F91" s="308">
        <f>SUMIF('ПО КОРИСНИЦИМА'!$G$16:$G$1823,"Функција 560:",'ПО КОРИСНИЦИМА'!$L$16:$L$1823)</f>
        <v>0</v>
      </c>
      <c r="G91" s="308">
        <v>0</v>
      </c>
      <c r="H91" s="308">
        <v>0</v>
      </c>
      <c r="I91" s="382">
        <f>SUM(F91,C91)</f>
        <v>600000</v>
      </c>
      <c r="J91" s="375">
        <f>SUM(G91,D91)</f>
        <v>21600</v>
      </c>
      <c r="K91" s="314">
        <f>J91/I91</f>
        <v>3.5999999999999997E-2</v>
      </c>
    </row>
    <row r="92" spans="1:11" x14ac:dyDescent="0.25">
      <c r="A92" s="98" t="s">
        <v>3965</v>
      </c>
      <c r="B92" s="99" t="s">
        <v>3966</v>
      </c>
      <c r="C92" s="305">
        <f>SUM(C93:C98)</f>
        <v>38214888</v>
      </c>
      <c r="D92" s="305">
        <f>SUM(D93:D98)</f>
        <v>17765387.600000001</v>
      </c>
      <c r="E92" s="327">
        <f>D92/C92</f>
        <v>0.46488132059944809</v>
      </c>
      <c r="F92" s="305">
        <f>SUM(F93:F98)</f>
        <v>0</v>
      </c>
      <c r="G92" s="305">
        <f>SUM(G93:G98)</f>
        <v>10111714.960000001</v>
      </c>
      <c r="H92" s="327" t="e">
        <f>G92/F92</f>
        <v>#DIV/0!</v>
      </c>
      <c r="I92" s="386">
        <f>C92+F92</f>
        <v>38214888</v>
      </c>
      <c r="J92" s="376">
        <f>D92+G92</f>
        <v>27877102.560000002</v>
      </c>
      <c r="K92" s="317">
        <f>J92/I92</f>
        <v>0.72948277540418283</v>
      </c>
    </row>
    <row r="93" spans="1:11" x14ac:dyDescent="0.25">
      <c r="A93" s="92" t="s">
        <v>3849</v>
      </c>
      <c r="B93" s="93" t="s">
        <v>3967</v>
      </c>
      <c r="C93" s="304">
        <f>SUMIF('ПО КОРИСНИЦИМА'!$G$16:$G$1823,"Функција 610:",'ПО КОРИСНИЦИМА'!$H$16:$H$1823)</f>
        <v>0</v>
      </c>
      <c r="D93" s="304">
        <v>0</v>
      </c>
      <c r="E93" s="319">
        <v>0</v>
      </c>
      <c r="F93" s="304">
        <f>SUMIF('ПО КОРИСНИЦИМА'!$G$16:$G$1823,"Функција 610:",'ПО КОРИСНИЦИМА'!$L$16:$L$1823)</f>
        <v>0</v>
      </c>
      <c r="G93" s="304">
        <v>0</v>
      </c>
      <c r="H93" s="304">
        <v>0</v>
      </c>
      <c r="I93" s="384">
        <f t="shared" ref="I93:J98" si="9">SUM(F93,C93)</f>
        <v>0</v>
      </c>
      <c r="J93" s="377">
        <f t="shared" si="9"/>
        <v>0</v>
      </c>
      <c r="K93" s="318">
        <v>0</v>
      </c>
    </row>
    <row r="94" spans="1:11" x14ac:dyDescent="0.25">
      <c r="A94" s="92" t="s">
        <v>3856</v>
      </c>
      <c r="B94" s="93" t="s">
        <v>3968</v>
      </c>
      <c r="C94" s="304">
        <f>SUMIF('ПО КОРИСНИЦИМА'!$G$16:$G$1823,"Функција 620:",'ПО КОРИСНИЦИМА'!$H$16:$H$1823)</f>
        <v>1394372</v>
      </c>
      <c r="D94" s="304">
        <f>SUMIF('ПО КОРИСНИЦИМА'!$G$16:$G$1823,"Функција 620:",'ПО КОРИСНИЦИМА'!$I$16:$I$1823)</f>
        <v>1750451.23</v>
      </c>
      <c r="E94" s="319">
        <f>D94/C94</f>
        <v>1.2553688900809827</v>
      </c>
      <c r="F94" s="304">
        <f>SUMIF('ПО КОРИСНИЦИМА'!$G$16:$G$1823,"Функција 620:",'ПО КОРИСНИЦИМА'!$L$16:$L$1823)</f>
        <v>0</v>
      </c>
      <c r="G94" s="304">
        <f>SUMIF('ПО КОРИСНИЦИМА'!$G$16:$G$1823,"Функција 620:",'ПО КОРИСНИЦИМА'!$M$16:$M$1823)</f>
        <v>0</v>
      </c>
      <c r="H94" s="304" t="e">
        <f>G94/F94</f>
        <v>#DIV/0!</v>
      </c>
      <c r="I94" s="384">
        <f t="shared" si="9"/>
        <v>1394372</v>
      </c>
      <c r="J94" s="377">
        <f t="shared" si="9"/>
        <v>1750451.23</v>
      </c>
      <c r="K94" s="314">
        <f>J94/I94</f>
        <v>1.2553688900809827</v>
      </c>
    </row>
    <row r="95" spans="1:11" x14ac:dyDescent="0.25">
      <c r="A95" s="92" t="s">
        <v>3969</v>
      </c>
      <c r="B95" s="93" t="s">
        <v>3970</v>
      </c>
      <c r="C95" s="304">
        <f>SUMIF('ПО КОРИСНИЦИМА'!$G$16:$G$1823,"Функција 630:",'ПО КОРИСНИЦИМА'!$H$16:$H$1823)</f>
        <v>18590000</v>
      </c>
      <c r="D95" s="304">
        <f>SUMIF('ПО КОРИСНИЦИМА'!$G$16:$G$1823,"Функција 630:",'ПО КОРИСНИЦИМА'!$I$16:$I$1823)</f>
        <v>3976512</v>
      </c>
      <c r="E95" s="319">
        <v>0</v>
      </c>
      <c r="F95" s="304">
        <f>SUMIF('ПО КОРИСНИЦИМА'!$G$16:$G$1823,"Функција 630:",'ПО КОРИСНИЦИМА'!$L$16:$L$1823)</f>
        <v>0</v>
      </c>
      <c r="G95" s="304">
        <f>SUMIF('ПО КОРИСНИЦИМА'!$G$16:$G$1823,"Функција 630:",'ПО КОРИСНИЦИМА'!$M$16:$M$1823)</f>
        <v>8976237.25</v>
      </c>
      <c r="H95" s="304">
        <v>0</v>
      </c>
      <c r="I95" s="384">
        <f t="shared" si="9"/>
        <v>18590000</v>
      </c>
      <c r="J95" s="377">
        <f t="shared" si="9"/>
        <v>12952749.25</v>
      </c>
      <c r="K95" s="318">
        <v>0</v>
      </c>
    </row>
    <row r="96" spans="1:11" x14ac:dyDescent="0.25">
      <c r="A96" s="92" t="s">
        <v>3971</v>
      </c>
      <c r="B96" s="93" t="s">
        <v>3972</v>
      </c>
      <c r="C96" s="304">
        <f>SUMIF('ПО КОРИСНИЦИМА'!$G$16:$G$1823,"Функција 640:",'ПО КОРИСНИЦИМА'!$H$16:$H$1823)</f>
        <v>18230516</v>
      </c>
      <c r="D96" s="304">
        <f>SUMIF('ПО КОРИСНИЦИМА'!$G$16:$G$1823,"Функција 640:",'ПО КОРИСНИЦИМА'!$I$16:$I$1823)</f>
        <v>12038424.369999999</v>
      </c>
      <c r="E96" s="319">
        <v>0</v>
      </c>
      <c r="F96" s="304">
        <f>SUMIF('ПО КОРИСНИЦИМА'!$G$16:$G$1823,"Функција 640:",'ПО КОРИСНИЦИМА'!$L$16:$L$1823)</f>
        <v>0</v>
      </c>
      <c r="G96" s="304">
        <f>SUMIF('ПО КОРИСНИЦИМА'!$G$16:$G$1823,"Функција 640:",'ПО КОРИСНИЦИМА'!$M$16:$M$1823)</f>
        <v>1135477.71</v>
      </c>
      <c r="H96" s="304">
        <v>0</v>
      </c>
      <c r="I96" s="384">
        <f t="shared" si="9"/>
        <v>18230516</v>
      </c>
      <c r="J96" s="377">
        <f t="shared" si="9"/>
        <v>13173902.079999998</v>
      </c>
      <c r="K96" s="318">
        <v>0</v>
      </c>
    </row>
    <row r="97" spans="1:11" ht="23.25" x14ac:dyDescent="0.25">
      <c r="A97" s="92" t="s">
        <v>3973</v>
      </c>
      <c r="B97" s="93" t="s">
        <v>3974</v>
      </c>
      <c r="C97" s="304">
        <f>SUMIF('ПО КОРИСНИЦИМА'!$G$16:$G$1823,"Функција 650:",'ПО КОРИСНИЦИМА'!$H$16:$H$1823)</f>
        <v>0</v>
      </c>
      <c r="D97" s="304">
        <v>0</v>
      </c>
      <c r="E97" s="319">
        <v>0</v>
      </c>
      <c r="F97" s="304">
        <f>SUMIF('ПО КОРИСНИЦИМА'!$G$16:$G$1823,"Функција 650:",'ПО КОРИСНИЦИМА'!$L$16:$L$1823)</f>
        <v>0</v>
      </c>
      <c r="G97" s="304">
        <v>0</v>
      </c>
      <c r="H97" s="304">
        <v>0</v>
      </c>
      <c r="I97" s="384">
        <f t="shared" si="9"/>
        <v>0</v>
      </c>
      <c r="J97" s="377">
        <f t="shared" si="9"/>
        <v>0</v>
      </c>
      <c r="K97" s="318">
        <v>0</v>
      </c>
    </row>
    <row r="98" spans="1:11" ht="18.75" customHeight="1" x14ac:dyDescent="0.25">
      <c r="A98" s="92" t="s">
        <v>3975</v>
      </c>
      <c r="B98" s="93" t="s">
        <v>187</v>
      </c>
      <c r="C98" s="304">
        <f>SUMIF('ПО КОРИСНИЦИМА'!$G$16:$G$1823,"Функција 660:",'ПО КОРИСНИЦИМА'!$H$16:$H$1823)</f>
        <v>0</v>
      </c>
      <c r="D98" s="304">
        <f>SUMIF('ПО КОРИСНИЦИМА'!$G$16:$G$1823,"Функција 660:",'ПО КОРИСНИЦИМА'!$I$16:$I$1823)</f>
        <v>0</v>
      </c>
      <c r="E98" s="319">
        <v>0</v>
      </c>
      <c r="F98" s="304">
        <f>SUMIF('ПО КОРИСНИЦИМА'!$G$16:$G$1823,"Функција 660:",'ПО КОРИСНИЦИМА'!$L$16:$L$1823)</f>
        <v>0</v>
      </c>
      <c r="G98" s="304">
        <v>0</v>
      </c>
      <c r="H98" s="304">
        <v>0</v>
      </c>
      <c r="I98" s="384">
        <f t="shared" si="9"/>
        <v>0</v>
      </c>
      <c r="J98" s="377">
        <f t="shared" si="9"/>
        <v>0</v>
      </c>
      <c r="K98" s="318">
        <v>0</v>
      </c>
    </row>
    <row r="99" spans="1:11" x14ac:dyDescent="0.25">
      <c r="A99" s="100">
        <v>700</v>
      </c>
      <c r="B99" s="101" t="s">
        <v>188</v>
      </c>
      <c r="C99" s="306">
        <f>SUM(C100:C116)</f>
        <v>11450000</v>
      </c>
      <c r="D99" s="306">
        <f>SUM(D100:D116)</f>
        <v>12397914.209999999</v>
      </c>
      <c r="E99" s="326">
        <f>D99/C99</f>
        <v>1.0827872672489083</v>
      </c>
      <c r="F99" s="321">
        <f>SUM(F100:F116)</f>
        <v>0</v>
      </c>
      <c r="G99" s="321">
        <f>SUM(G100:G116)</f>
        <v>0</v>
      </c>
      <c r="H99" s="321"/>
      <c r="I99" s="387">
        <f>SUM(I100:I116)</f>
        <v>11450000</v>
      </c>
      <c r="J99" s="376">
        <f>D99+G99</f>
        <v>12397914.209999999</v>
      </c>
      <c r="K99" s="317">
        <f>J99/I99</f>
        <v>1.0827872672489083</v>
      </c>
    </row>
    <row r="100" spans="1:11" x14ac:dyDescent="0.25">
      <c r="A100" s="92" t="s">
        <v>3976</v>
      </c>
      <c r="B100" s="93" t="s">
        <v>3977</v>
      </c>
      <c r="C100" s="308">
        <f>SUMIF('ПО КОРИСНИЦИМА'!$G$16:$G$1823,"Функција 710:",'ПО КОРИСНИЦИМА'!$H$16:$H$1823)</f>
        <v>0</v>
      </c>
      <c r="D100" s="308">
        <f>SUMIF('ПО КОРИСНИЦИМА'!$G$16:$G$1823,"Функција 710:",'ПО КОРИСНИЦИМА'!$I$16:$I$1823)</f>
        <v>0</v>
      </c>
      <c r="E100" s="319">
        <v>0</v>
      </c>
      <c r="F100" s="308">
        <f>SUMIF('ПО КОРИСНИЦИМА'!$G$16:$G$1823,"Функција 710:",'ПО КОРИСНИЦИМА'!$L$16:$L$1823)</f>
        <v>0</v>
      </c>
      <c r="G100" s="308">
        <v>0</v>
      </c>
      <c r="H100" s="308">
        <v>0</v>
      </c>
      <c r="I100" s="318">
        <f t="shared" ref="I100:J116" si="10">SUM(F100,C100)</f>
        <v>0</v>
      </c>
      <c r="J100" s="374">
        <f t="shared" si="10"/>
        <v>0</v>
      </c>
      <c r="K100" s="318">
        <v>0</v>
      </c>
    </row>
    <row r="101" spans="1:11" x14ac:dyDescent="0.25">
      <c r="A101" s="94" t="s">
        <v>3978</v>
      </c>
      <c r="B101" s="93" t="s">
        <v>190</v>
      </c>
      <c r="C101" s="308">
        <f>SUMIF('ПО КОРИСНИЦИМА'!$G$16:$G$1823,"Функција 711:",'ПО КОРИСНИЦИМА'!$H$16:$H$1823)</f>
        <v>0</v>
      </c>
      <c r="D101" s="308">
        <v>0</v>
      </c>
      <c r="E101" s="319">
        <v>0</v>
      </c>
      <c r="F101" s="308">
        <f>SUMIF('ПО КОРИСНИЦИМА'!$G$16:$G$1823,"Функција 711:",'ПО КОРИСНИЦИМА'!$L$16:$L$1823)</f>
        <v>0</v>
      </c>
      <c r="G101" s="308">
        <v>0</v>
      </c>
      <c r="H101" s="308">
        <v>0</v>
      </c>
      <c r="I101" s="318">
        <f t="shared" si="10"/>
        <v>0</v>
      </c>
      <c r="J101" s="374">
        <v>0</v>
      </c>
      <c r="K101" s="318">
        <v>0</v>
      </c>
    </row>
    <row r="102" spans="1:11" x14ac:dyDescent="0.25">
      <c r="A102" s="94" t="s">
        <v>3979</v>
      </c>
      <c r="B102" s="93" t="s">
        <v>191</v>
      </c>
      <c r="C102" s="308">
        <f>SUMIF('ПО КОРИСНИЦИМА'!$G$16:$G$1823,"Функција 712:",'ПО КОРИСНИЦИМА'!$H$16:$H$1823)</f>
        <v>0</v>
      </c>
      <c r="D102" s="308">
        <v>0</v>
      </c>
      <c r="E102" s="319">
        <v>0</v>
      </c>
      <c r="F102" s="308">
        <f>SUMIF('ПО КОРИСНИЦИМА'!$G$16:$G$1823,"Функција 712:",'ПО КОРИСНИЦИМА'!$L$16:$L$1823)</f>
        <v>0</v>
      </c>
      <c r="G102" s="308">
        <v>0</v>
      </c>
      <c r="H102" s="308">
        <v>0</v>
      </c>
      <c r="I102" s="318">
        <f t="shared" si="10"/>
        <v>0</v>
      </c>
      <c r="J102" s="374">
        <v>0</v>
      </c>
      <c r="K102" s="318">
        <v>0</v>
      </c>
    </row>
    <row r="103" spans="1:11" x14ac:dyDescent="0.25">
      <c r="A103" s="94" t="s">
        <v>3980</v>
      </c>
      <c r="B103" s="93" t="s">
        <v>192</v>
      </c>
      <c r="C103" s="308">
        <f>SUMIF('ПО КОРИСНИЦИМА'!$G$16:$G$1823,"Функција 713:",'ПО КОРИСНИЦИМА'!$H$16:$H$1823)</f>
        <v>0</v>
      </c>
      <c r="D103" s="308">
        <v>0</v>
      </c>
      <c r="E103" s="319">
        <v>0</v>
      </c>
      <c r="F103" s="308">
        <f>SUMIF('ПО КОРИСНИЦИМА'!$G$16:$G$1823,"Функција 713:",'ПО КОРИСНИЦИМА'!$L$16:$L$1823)</f>
        <v>0</v>
      </c>
      <c r="G103" s="308">
        <v>0</v>
      </c>
      <c r="H103" s="308">
        <v>0</v>
      </c>
      <c r="I103" s="318">
        <f t="shared" si="10"/>
        <v>0</v>
      </c>
      <c r="J103" s="374">
        <v>0</v>
      </c>
      <c r="K103" s="318">
        <v>0</v>
      </c>
    </row>
    <row r="104" spans="1:11" x14ac:dyDescent="0.25">
      <c r="A104" s="92" t="s">
        <v>3981</v>
      </c>
      <c r="B104" s="93" t="s">
        <v>3982</v>
      </c>
      <c r="C104" s="308">
        <f>SUMIF('ПО КОРИСНИЦИМА'!$G$16:$G$1823,"Функција 720:",'ПО КОРИСНИЦИМА'!$H$16:$H$1823)</f>
        <v>0</v>
      </c>
      <c r="D104" s="308">
        <v>0</v>
      </c>
      <c r="E104" s="319">
        <v>0</v>
      </c>
      <c r="F104" s="308">
        <f>SUMIF('ПО КОРИСНИЦИМА'!$G$16:$G$1823,"Функција 720:",'ПО КОРИСНИЦИМА'!$L$16:$L$1823)</f>
        <v>0</v>
      </c>
      <c r="G104" s="308">
        <v>0</v>
      </c>
      <c r="H104" s="308">
        <v>0</v>
      </c>
      <c r="I104" s="318">
        <f t="shared" si="10"/>
        <v>0</v>
      </c>
      <c r="J104" s="374">
        <v>0</v>
      </c>
      <c r="K104" s="318">
        <v>0</v>
      </c>
    </row>
    <row r="105" spans="1:11" x14ac:dyDescent="0.25">
      <c r="A105" s="94" t="s">
        <v>3983</v>
      </c>
      <c r="B105" s="93" t="s">
        <v>194</v>
      </c>
      <c r="C105" s="308">
        <f>SUMIF('ПО КОРИСНИЦИМА'!$G$16:$G$1823,"Функција 721:",'ПО КОРИСНИЦИМА'!$H$16:$H$1823)</f>
        <v>0</v>
      </c>
      <c r="D105" s="308">
        <v>0</v>
      </c>
      <c r="E105" s="319">
        <v>0</v>
      </c>
      <c r="F105" s="308">
        <f>SUMIF('ПО КОРИСНИЦИМА'!$G$16:$G$1823,"Функција 721:",'ПО КОРИСНИЦИМА'!$L$16:$L$1823)</f>
        <v>0</v>
      </c>
      <c r="G105" s="308">
        <v>0</v>
      </c>
      <c r="H105" s="308">
        <v>0</v>
      </c>
      <c r="I105" s="318">
        <f t="shared" si="10"/>
        <v>0</v>
      </c>
      <c r="J105" s="374">
        <v>0</v>
      </c>
      <c r="K105" s="318">
        <v>0</v>
      </c>
    </row>
    <row r="106" spans="1:11" x14ac:dyDescent="0.25">
      <c r="A106" s="94" t="s">
        <v>3984</v>
      </c>
      <c r="B106" s="93" t="s">
        <v>195</v>
      </c>
      <c r="C106" s="308">
        <f>SUMIF('ПО КОРИСНИЦИМА'!$G$16:$G$1823,"Функција 722:",'ПО КОРИСНИЦИМА'!$H$16:$H$1823)</f>
        <v>450000</v>
      </c>
      <c r="D106" s="308">
        <f>SUMIF('ПО КОРИСНИЦИМА'!$G$16:$G$1823,"Функција 722:",'ПО КОРИСНИЦИМА'!$I$16:$I$1823)</f>
        <v>514557</v>
      </c>
      <c r="E106" s="319">
        <v>0</v>
      </c>
      <c r="F106" s="308">
        <f>SUMIF('ПО КОРИСНИЦИМА'!$G$16:$G$1823,"Функција 722:",'ПО КОРИСНИЦИМА'!$L$16:$L$1823)</f>
        <v>0</v>
      </c>
      <c r="G106" s="308">
        <v>0</v>
      </c>
      <c r="H106" s="308">
        <v>0</v>
      </c>
      <c r="I106" s="318">
        <f t="shared" si="10"/>
        <v>450000</v>
      </c>
      <c r="J106" s="374">
        <f t="shared" si="10"/>
        <v>514557</v>
      </c>
      <c r="K106" s="318">
        <v>0</v>
      </c>
    </row>
    <row r="107" spans="1:11" x14ac:dyDescent="0.25">
      <c r="A107" s="94" t="s">
        <v>3985</v>
      </c>
      <c r="B107" s="93" t="s">
        <v>196</v>
      </c>
      <c r="C107" s="308">
        <f>SUMIF('ПО КОРИСНИЦИМА'!$G$16:$G$1823,"Функција 723:",'ПО КОРИСНИЦИМА'!$H$16:$H$1823)</f>
        <v>0</v>
      </c>
      <c r="D107" s="308">
        <v>0</v>
      </c>
      <c r="E107" s="319">
        <v>0</v>
      </c>
      <c r="F107" s="308">
        <f>SUMIF('ПО КОРИСНИЦИМА'!$G$16:$G$1823,"Функција 723:",'ПО КОРИСНИЦИМА'!$L$16:$L$1823)</f>
        <v>0</v>
      </c>
      <c r="G107" s="308">
        <v>0</v>
      </c>
      <c r="H107" s="308">
        <v>0</v>
      </c>
      <c r="I107" s="318">
        <f t="shared" si="10"/>
        <v>0</v>
      </c>
      <c r="J107" s="374">
        <v>0</v>
      </c>
      <c r="K107" s="318">
        <v>0</v>
      </c>
    </row>
    <row r="108" spans="1:11" x14ac:dyDescent="0.25">
      <c r="A108" s="94" t="s">
        <v>3986</v>
      </c>
      <c r="B108" s="93" t="s">
        <v>197</v>
      </c>
      <c r="C108" s="308">
        <f>SUMIF('ПО КОРИСНИЦИМА'!$G$16:$G$1823,"Функција 724:",'ПО КОРИСНИЦИМА'!$H$16:$H$1823)</f>
        <v>0</v>
      </c>
      <c r="D108" s="308">
        <v>0</v>
      </c>
      <c r="E108" s="319">
        <v>0</v>
      </c>
      <c r="F108" s="308">
        <f>SUMIF('ПО КОРИСНИЦИМА'!$G$16:$G$1823,"Функција 724:",'ПО КОРИСНИЦИМА'!$L$16:$L$1823)</f>
        <v>0</v>
      </c>
      <c r="G108" s="308">
        <v>0</v>
      </c>
      <c r="H108" s="308">
        <v>0</v>
      </c>
      <c r="I108" s="318">
        <f t="shared" si="10"/>
        <v>0</v>
      </c>
      <c r="J108" s="374">
        <v>0</v>
      </c>
      <c r="K108" s="318">
        <v>0</v>
      </c>
    </row>
    <row r="109" spans="1:11" x14ac:dyDescent="0.25">
      <c r="A109" s="92" t="s">
        <v>3987</v>
      </c>
      <c r="B109" s="93" t="s">
        <v>3988</v>
      </c>
      <c r="C109" s="308">
        <f>SUMIF('ПО КОРИСНИЦИМА'!$G$16:$G$1823,"Функција 730:",'ПО КОРИСНИЦИМА'!$H$16:$H$1823)</f>
        <v>0</v>
      </c>
      <c r="D109" s="308">
        <v>0</v>
      </c>
      <c r="E109" s="319">
        <v>0</v>
      </c>
      <c r="F109" s="308">
        <f>SUMIF('ПО КОРИСНИЦИМА'!$G$16:$G$1823,"Функција 730:",'ПО КОРИСНИЦИМА'!$L$16:$L$1823)</f>
        <v>0</v>
      </c>
      <c r="G109" s="308">
        <v>0</v>
      </c>
      <c r="H109" s="308">
        <v>0</v>
      </c>
      <c r="I109" s="318">
        <f t="shared" si="10"/>
        <v>0</v>
      </c>
      <c r="J109" s="374">
        <v>0</v>
      </c>
      <c r="K109" s="318">
        <v>0</v>
      </c>
    </row>
    <row r="110" spans="1:11" x14ac:dyDescent="0.25">
      <c r="A110" s="94" t="s">
        <v>3989</v>
      </c>
      <c r="B110" s="93" t="s">
        <v>199</v>
      </c>
      <c r="C110" s="308">
        <f>SUMIF('ПО КОРИСНИЦИМА'!$G$16:$G$1823,"Функција 731:",'ПО КОРИСНИЦИМА'!$H$16:$H$1823)</f>
        <v>0</v>
      </c>
      <c r="D110" s="308">
        <v>0</v>
      </c>
      <c r="E110" s="319">
        <v>0</v>
      </c>
      <c r="F110" s="308">
        <f>SUMIF('ПО КОРИСНИЦИМА'!$G$16:$G$1823,"Функција 731:",'ПО КОРИСНИЦИМА'!$L$16:$L$1823)</f>
        <v>0</v>
      </c>
      <c r="G110" s="308">
        <v>0</v>
      </c>
      <c r="H110" s="308">
        <v>0</v>
      </c>
      <c r="I110" s="318">
        <f t="shared" si="10"/>
        <v>0</v>
      </c>
      <c r="J110" s="374">
        <v>0</v>
      </c>
      <c r="K110" s="318">
        <v>0</v>
      </c>
    </row>
    <row r="111" spans="1:11" x14ac:dyDescent="0.25">
      <c r="A111" s="94" t="s">
        <v>3990</v>
      </c>
      <c r="B111" s="93" t="s">
        <v>200</v>
      </c>
      <c r="C111" s="308">
        <f>SUMIF('ПО КОРИСНИЦИМА'!$G$16:$G$1823,"Функција 732:",'ПО КОРИСНИЦИМА'!$H$16:$H$1823)</f>
        <v>0</v>
      </c>
      <c r="D111" s="308">
        <v>0</v>
      </c>
      <c r="E111" s="319">
        <v>0</v>
      </c>
      <c r="F111" s="308">
        <f>SUMIF('ПО КОРИСНИЦИМА'!$G$16:$G$1823,"Функција 732:",'ПО КОРИСНИЦИМА'!$L$16:$L$1823)</f>
        <v>0</v>
      </c>
      <c r="G111" s="308">
        <v>0</v>
      </c>
      <c r="H111" s="308">
        <v>0</v>
      </c>
      <c r="I111" s="318">
        <f t="shared" si="10"/>
        <v>0</v>
      </c>
      <c r="J111" s="374">
        <v>0</v>
      </c>
      <c r="K111" s="318">
        <v>0</v>
      </c>
    </row>
    <row r="112" spans="1:11" x14ac:dyDescent="0.25">
      <c r="A112" s="94" t="s">
        <v>3991</v>
      </c>
      <c r="B112" s="93" t="s">
        <v>201</v>
      </c>
      <c r="C112" s="308">
        <f>SUMIF('ПО КОРИСНИЦИМА'!$G$16:$G$1823,"Функција 733:",'ПО КОРИСНИЦИМА'!$H$16:$H$1823)</f>
        <v>0</v>
      </c>
      <c r="D112" s="308">
        <v>0</v>
      </c>
      <c r="E112" s="319">
        <v>0</v>
      </c>
      <c r="F112" s="308">
        <f>SUMIF('ПО КОРИСНИЦИМА'!$G$16:$G$1823,"Функција 733:",'ПО КОРИСНИЦИМА'!$L$16:$L$1823)</f>
        <v>0</v>
      </c>
      <c r="G112" s="308">
        <v>0</v>
      </c>
      <c r="H112" s="308">
        <v>0</v>
      </c>
      <c r="I112" s="318">
        <f t="shared" si="10"/>
        <v>0</v>
      </c>
      <c r="J112" s="374">
        <v>0</v>
      </c>
      <c r="K112" s="318">
        <v>0</v>
      </c>
    </row>
    <row r="113" spans="1:11" x14ac:dyDescent="0.25">
      <c r="A113" s="94" t="s">
        <v>3992</v>
      </c>
      <c r="B113" s="93" t="s">
        <v>3993</v>
      </c>
      <c r="C113" s="308">
        <f>SUMIF('ПО КОРИСНИЦИМА'!$G$16:$G$1823,"Функција 734:",'ПО КОРИСНИЦИМА'!$H$16:$H$1823)</f>
        <v>0</v>
      </c>
      <c r="D113" s="308">
        <v>0</v>
      </c>
      <c r="E113" s="319">
        <v>0</v>
      </c>
      <c r="F113" s="308">
        <f>SUMIF('ПО КОРИСНИЦИМА'!$G$16:$G$1823,"Функција 734:",'ПО КОРИСНИЦИМА'!$L$16:$L$1823)</f>
        <v>0</v>
      </c>
      <c r="G113" s="308">
        <v>0</v>
      </c>
      <c r="H113" s="308">
        <v>0</v>
      </c>
      <c r="I113" s="318">
        <f t="shared" si="10"/>
        <v>0</v>
      </c>
      <c r="J113" s="374">
        <v>0</v>
      </c>
      <c r="K113" s="318">
        <v>0</v>
      </c>
    </row>
    <row r="114" spans="1:11" x14ac:dyDescent="0.25">
      <c r="A114" s="92" t="s">
        <v>3994</v>
      </c>
      <c r="B114" s="93" t="s">
        <v>3995</v>
      </c>
      <c r="C114" s="308">
        <f>SUMIF('ПО КОРИСНИЦИМА'!$G$16:$G$1823,"Функција 740:",'ПО КОРИСНИЦИМА'!$H$16:$H$1823)</f>
        <v>0</v>
      </c>
      <c r="D114" s="308">
        <v>0</v>
      </c>
      <c r="E114" s="319">
        <v>0</v>
      </c>
      <c r="F114" s="308">
        <f>SUMIF('ПО КОРИСНИЦИМА'!$G$16:$G$1823,"Функција 740:",'ПО КОРИСНИЦИМА'!$L$16:$L$1823)</f>
        <v>0</v>
      </c>
      <c r="G114" s="308">
        <v>0</v>
      </c>
      <c r="H114" s="308">
        <v>0</v>
      </c>
      <c r="I114" s="318">
        <f t="shared" si="10"/>
        <v>0</v>
      </c>
      <c r="J114" s="374">
        <v>0</v>
      </c>
      <c r="K114" s="318">
        <v>0</v>
      </c>
    </row>
    <row r="115" spans="1:11" x14ac:dyDescent="0.25">
      <c r="A115" s="92" t="s">
        <v>3996</v>
      </c>
      <c r="B115" s="93" t="s">
        <v>3997</v>
      </c>
      <c r="C115" s="308">
        <f>SUMIF('ПО КОРИСНИЦИМА'!$G$16:$G$1823,"Функција 750:",'ПО КОРИСНИЦИМА'!$H$16:$H$1823)</f>
        <v>0</v>
      </c>
      <c r="D115" s="308">
        <v>0</v>
      </c>
      <c r="E115" s="319">
        <v>0</v>
      </c>
      <c r="F115" s="308">
        <f>SUMIF('ПО КОРИСНИЦИМА'!$G$16:$G$1823,"Функција 750:",'ПО КОРИСНИЦИМА'!$L$16:$L$1823)</f>
        <v>0</v>
      </c>
      <c r="G115" s="308">
        <v>0</v>
      </c>
      <c r="H115" s="308">
        <v>0</v>
      </c>
      <c r="I115" s="318">
        <f t="shared" si="10"/>
        <v>0</v>
      </c>
      <c r="J115" s="374">
        <v>0</v>
      </c>
      <c r="K115" s="318">
        <v>0</v>
      </c>
    </row>
    <row r="116" spans="1:11" x14ac:dyDescent="0.25">
      <c r="A116" s="92" t="s">
        <v>3998</v>
      </c>
      <c r="B116" s="93" t="s">
        <v>3999</v>
      </c>
      <c r="C116" s="304">
        <f>SUMIF('ПО КОРИСНИЦИМА'!$G$16:$G$1823,"Функција 760:",'ПО КОРИСНИЦИМА'!$H$16:$H$1823)</f>
        <v>11000000</v>
      </c>
      <c r="D116" s="308">
        <f>SUMIF('ПО КОРИСНИЦИМА'!$G$16:$G$1823,"Функција 760:",'ПО КОРИСНИЦИМА'!$I$16:$I$1823)</f>
        <v>11883357.209999999</v>
      </c>
      <c r="E116" s="319">
        <f>D116/C116</f>
        <v>1.0803052009090908</v>
      </c>
      <c r="F116" s="308"/>
      <c r="G116" s="308"/>
      <c r="H116" s="308"/>
      <c r="I116" s="318">
        <f>C116+F116</f>
        <v>11000000</v>
      </c>
      <c r="J116" s="374">
        <f t="shared" si="10"/>
        <v>11883357.209999999</v>
      </c>
      <c r="K116" s="318">
        <v>0</v>
      </c>
    </row>
    <row r="117" spans="1:11" x14ac:dyDescent="0.25">
      <c r="A117" s="90" t="s">
        <v>4000</v>
      </c>
      <c r="B117" s="95" t="s">
        <v>206</v>
      </c>
      <c r="C117" s="328">
        <f>SUM(C118:C123)</f>
        <v>27549604</v>
      </c>
      <c r="D117" s="328">
        <f>SUM(D118:D123)</f>
        <v>20375898.010000002</v>
      </c>
      <c r="E117" s="329">
        <f>D117/C117</f>
        <v>0.73960765497754533</v>
      </c>
      <c r="F117" s="328">
        <f>SUM(F118:F123)</f>
        <v>1596599.4</v>
      </c>
      <c r="G117" s="328">
        <f>SUM(G118:G123)</f>
        <v>509910.75</v>
      </c>
      <c r="H117" s="329">
        <f>G117/F117</f>
        <v>0.31937300615295233</v>
      </c>
      <c r="I117" s="388">
        <f>SUM(I118:I120)</f>
        <v>27816203.399999999</v>
      </c>
      <c r="J117" s="376">
        <f>D117+G117</f>
        <v>20885808.760000002</v>
      </c>
      <c r="K117" s="317">
        <f>J117/I117</f>
        <v>0.75085044711745252</v>
      </c>
    </row>
    <row r="118" spans="1:11" x14ac:dyDescent="0.25">
      <c r="A118" s="92" t="s">
        <v>4001</v>
      </c>
      <c r="B118" s="93" t="s">
        <v>4002</v>
      </c>
      <c r="C118" s="304">
        <f>SUMIF('ПО КОРИСНИЦИМА'!$G$16:$G$1823,"Функција 810:",'ПО КОРИСНИЦИМА'!$H$16:$H$1823)</f>
        <v>12280000</v>
      </c>
      <c r="D118" s="304">
        <f>SUMIF('ПО КОРИСНИЦИМА'!$G$16:$G$1823,"Функција 810:",'ПО КОРИСНИЦИМА'!$I$16:$I$1823)</f>
        <v>10776655.870000001</v>
      </c>
      <c r="E118" s="319">
        <v>0</v>
      </c>
      <c r="F118" s="308">
        <f>SUMIF('ПО КОРИСНИЦИМА'!$G$16:$G$1823,"Функција 810:",'ПО КОРИСНИЦИМА'!$L$16:$L$1823)</f>
        <v>0</v>
      </c>
      <c r="G118" s="308">
        <v>0</v>
      </c>
      <c r="H118" s="308">
        <v>0</v>
      </c>
      <c r="I118" s="318">
        <f>C118+F118</f>
        <v>12280000</v>
      </c>
      <c r="J118" s="374">
        <v>0</v>
      </c>
      <c r="K118" s="314">
        <v>0</v>
      </c>
    </row>
    <row r="119" spans="1:11" x14ac:dyDescent="0.25">
      <c r="A119" s="92" t="s">
        <v>4003</v>
      </c>
      <c r="B119" s="93" t="s">
        <v>4004</v>
      </c>
      <c r="C119" s="304">
        <f>SUMIF('ПО КОРИСНИЦИМА'!$G$16:$G$1823,"Функција 820:",'ПО КОРИСНИЦИМА'!$H$16:$H$1823)</f>
        <v>12589604</v>
      </c>
      <c r="D119" s="304">
        <f>SUMIF('ПО КОРИСНИЦИМА'!$G$16:$G$1823,"Функција 820:",'ПО КОРИСНИЦИМА'!$I$16:$I$1823)</f>
        <v>7679242.1400000006</v>
      </c>
      <c r="E119" s="319">
        <f>D119/C119</f>
        <v>0.60996693303458949</v>
      </c>
      <c r="F119" s="304">
        <f>SUMIF('ПО КОРИСНИЦИМА'!$G$16:$G$1823,"Функција 820:",'ПО КОРИСНИЦИМА'!$L$16:$L$1823)</f>
        <v>1596599.4</v>
      </c>
      <c r="G119" s="304">
        <f>SUMIF('ПО КОРИСНИЦИМА'!$G$16:$G$1823,"Функција 820:",'ПО КОРИСНИЦИМА'!$M$16:$M$1823)</f>
        <v>509910.75</v>
      </c>
      <c r="H119" s="319">
        <f>G119/F119</f>
        <v>0.31937300615295233</v>
      </c>
      <c r="I119" s="384">
        <f>SUM(F119,C119)</f>
        <v>14186203.4</v>
      </c>
      <c r="J119" s="377">
        <f>SUM(G119,D119)</f>
        <v>8189152.8900000006</v>
      </c>
      <c r="K119" s="314">
        <f>J119/I119</f>
        <v>0.57726177040433524</v>
      </c>
    </row>
    <row r="120" spans="1:11" x14ac:dyDescent="0.25">
      <c r="A120" s="92" t="s">
        <v>4005</v>
      </c>
      <c r="B120" s="93" t="s">
        <v>4006</v>
      </c>
      <c r="C120" s="304">
        <f>SUMIF('ПО КОРИСНИЦИМА'!$G$16:$G$1823,"Функција 830:",'ПО КОРИСНИЦИМА'!$H$16:$H$1823)</f>
        <v>1350000</v>
      </c>
      <c r="D120" s="308">
        <f>SUMIF('ПО КОРИСНИЦИМА'!$G$16:$G$1823,"Функција 830:",'ПО КОРИСНИЦИМА'!$I$16:$I$1823)</f>
        <v>790000</v>
      </c>
      <c r="E120" s="319">
        <f>D120/C120</f>
        <v>0.58518518518518514</v>
      </c>
      <c r="F120" s="308">
        <f>SUMIF('ПО КОРИСНИЦИМА'!$G$16:$G$1823,"Функција 830:",'ПО КОРИСНИЦИМА'!$L$16:$L$1823)</f>
        <v>0</v>
      </c>
      <c r="G120" s="308">
        <f>SUMIF('ПО КОРИСНИЦИМА'!$G$16:$G$1823,"Функција 830:",'ПО КОРИСНИЦИМА'!$M$16:$M$1823)</f>
        <v>0</v>
      </c>
      <c r="H120" s="308" t="e">
        <f>G120/F120</f>
        <v>#DIV/0!</v>
      </c>
      <c r="I120" s="318">
        <f>SUM(F120,C120)</f>
        <v>1350000</v>
      </c>
      <c r="J120" s="374">
        <v>0</v>
      </c>
      <c r="K120" s="314">
        <v>0</v>
      </c>
    </row>
    <row r="121" spans="1:11" x14ac:dyDescent="0.25">
      <c r="A121" s="92" t="s">
        <v>4007</v>
      </c>
      <c r="B121" s="93" t="s">
        <v>4008</v>
      </c>
      <c r="C121" s="308">
        <f>SUMIF('ПО КОРИСНИЦИМА'!$G$16:$G$1823,"Функција 840:",'ПО КОРИСНИЦИМА'!$H$16:$H$1823)</f>
        <v>0</v>
      </c>
      <c r="D121" s="308">
        <v>0</v>
      </c>
      <c r="E121" s="319">
        <v>0</v>
      </c>
      <c r="F121" s="308">
        <f>SUMIF('ПО КОРИСНИЦИМА'!$G$16:$G$1823,"Функција 840:",'ПО КОРИСНИЦИМА'!$L$16:$L$1823)</f>
        <v>0</v>
      </c>
      <c r="G121" s="308">
        <v>0</v>
      </c>
      <c r="H121" s="308">
        <v>0</v>
      </c>
      <c r="I121" s="318">
        <v>0</v>
      </c>
      <c r="J121" s="374">
        <v>0</v>
      </c>
      <c r="K121" s="314">
        <v>0</v>
      </c>
    </row>
    <row r="122" spans="1:11" ht="23.25" x14ac:dyDescent="0.25">
      <c r="A122" s="92" t="s">
        <v>4009</v>
      </c>
      <c r="B122" s="93" t="s">
        <v>4010</v>
      </c>
      <c r="C122" s="308">
        <f>SUMIF('ПО КОРИСНИЦИМА'!$G$16:$G$1823,"Функција 850:",'ПО КОРИСНИЦИМА'!$H$16:$H$1823)</f>
        <v>0</v>
      </c>
      <c r="D122" s="308">
        <v>0</v>
      </c>
      <c r="E122" s="319">
        <v>0</v>
      </c>
      <c r="F122" s="308">
        <f>SUMIF('ПО КОРИСНИЦИМА'!$G$16:$G$1823,"Функција 850:",'ПО КОРИСНИЦИМА'!$L$16:$L$1823)</f>
        <v>0</v>
      </c>
      <c r="G122" s="308">
        <v>0</v>
      </c>
      <c r="H122" s="308">
        <v>0</v>
      </c>
      <c r="I122" s="318">
        <v>0</v>
      </c>
      <c r="J122" s="374">
        <v>0</v>
      </c>
      <c r="K122" s="314">
        <v>0</v>
      </c>
    </row>
    <row r="123" spans="1:11" ht="23.25" x14ac:dyDescent="0.25">
      <c r="A123" s="92" t="s">
        <v>4011</v>
      </c>
      <c r="B123" s="93" t="s">
        <v>212</v>
      </c>
      <c r="C123" s="308">
        <f>SUMIF('ПО КОРИСНИЦИМА'!$G$16:$G$1823,"Функција 860:",'ПО КОРИСНИЦИМА'!$H$16:$H$1823)</f>
        <v>1330000</v>
      </c>
      <c r="D123" s="308">
        <f>SUMIF('ПО КОРИСНИЦИМА'!$G$16:$G$1823,"Функција 860:",'ПО КОРИСНИЦИМА'!$I$16:$I$1823)</f>
        <v>1130000</v>
      </c>
      <c r="E123" s="319">
        <v>0</v>
      </c>
      <c r="F123" s="308">
        <f>SUMIF('ПО КОРИСНИЦИМА'!$G$16:$G$1823,"Функција 860:",'ПО КОРИСНИЦИМА'!$L$16:$L$1823)</f>
        <v>0</v>
      </c>
      <c r="G123" s="308">
        <f>SUMIF('ПО КОРИСНИЦИМА'!$G$16:$G$1823,"Функција 860:",'ПО КОРИСНИЦИМА'!$M$16:$M$1823)</f>
        <v>0</v>
      </c>
      <c r="H123" s="308">
        <v>0</v>
      </c>
      <c r="I123" s="318">
        <f>C123+F123</f>
        <v>1330000</v>
      </c>
      <c r="J123" s="374">
        <f>D123+G123</f>
        <v>1130000</v>
      </c>
      <c r="K123" s="314">
        <f>J123/I123</f>
        <v>0.84962406015037595</v>
      </c>
    </row>
    <row r="124" spans="1:11" x14ac:dyDescent="0.25">
      <c r="A124" s="102" t="s">
        <v>4012</v>
      </c>
      <c r="B124" s="95" t="s">
        <v>213</v>
      </c>
      <c r="C124" s="303">
        <f>SUM(C125:C145)</f>
        <v>93940294</v>
      </c>
      <c r="D124" s="303">
        <f>SUM(D125:D145)</f>
        <v>58485773.520000003</v>
      </c>
      <c r="E124" s="315">
        <f>D124/C124</f>
        <v>0.62258452714657253</v>
      </c>
      <c r="F124" s="303">
        <f>SUM(F125:F145)</f>
        <v>11965143.73</v>
      </c>
      <c r="G124" s="303">
        <f>SUM(G125:G145)</f>
        <v>10314919.590000002</v>
      </c>
      <c r="H124" s="315">
        <f>G124/F124</f>
        <v>0.8620807089962137</v>
      </c>
      <c r="I124" s="383">
        <f>C124+F124</f>
        <v>105905437.73</v>
      </c>
      <c r="J124" s="376">
        <f>D124+G124</f>
        <v>68800693.109999999</v>
      </c>
      <c r="K124" s="317">
        <f>J124/I124</f>
        <v>0.64964268676556081</v>
      </c>
    </row>
    <row r="125" spans="1:11" x14ac:dyDescent="0.25">
      <c r="A125" s="92" t="s">
        <v>4013</v>
      </c>
      <c r="B125" s="93" t="s">
        <v>4014</v>
      </c>
      <c r="C125" s="308">
        <f>SUMIF('ПО КОРИСНИЦИМА'!$G$16:$G$1823,"Функција 910:",'ПО КОРИСНИЦИМА'!$H$16:$H$1823)</f>
        <v>0</v>
      </c>
      <c r="D125" s="308">
        <f>SUMIF('ПО КОРИСНИЦИМА'!$G$16:$G$1823,"Функција 910:",'ПО КОРИСНИЦИМА'!$H$16:$H$1823)</f>
        <v>0</v>
      </c>
      <c r="E125" s="319">
        <v>0</v>
      </c>
      <c r="F125" s="308">
        <v>0</v>
      </c>
      <c r="G125" s="308">
        <v>0</v>
      </c>
      <c r="H125" s="308">
        <v>0</v>
      </c>
      <c r="I125" s="318">
        <v>0</v>
      </c>
      <c r="J125" s="374">
        <v>0</v>
      </c>
      <c r="K125" s="318">
        <v>0</v>
      </c>
    </row>
    <row r="126" spans="1:11" x14ac:dyDescent="0.25">
      <c r="A126" s="94" t="s">
        <v>4015</v>
      </c>
      <c r="B126" s="93" t="s">
        <v>215</v>
      </c>
      <c r="C126" s="304">
        <f>SUMIF('ПО КОРИСНИЦИМА'!$G$16:$G$1823,"Функција 911:",'ПО КОРИСНИЦИМА'!$H$16:$H$1823)</f>
        <v>46232526</v>
      </c>
      <c r="D126" s="304">
        <f>SUMIF('ПО КОРИСНИЦИМА'!$G$16:$G$1823,"Функција 911:",'ПО КОРИСНИЦИМА'!$I$16:$I$1823)</f>
        <v>38532325.200000003</v>
      </c>
      <c r="E126" s="319">
        <f>D126/C126</f>
        <v>0.83344624518245014</v>
      </c>
      <c r="F126" s="304">
        <f>SUMIF('ПО КОРИСНИЦИМА'!$G$16:$G$1823,"Функција 911:",'ПО КОРИСНИЦИМА'!$L$16:$L$1823)</f>
        <v>11965143.73</v>
      </c>
      <c r="G126" s="304">
        <f>SUMIF('ПО КОРИСНИЦИМА'!$G$16:$G$1823,"Функција 911:",'ПО КОРИСНИЦИМА'!$M$16:$M$1823)</f>
        <v>10314919.590000002</v>
      </c>
      <c r="H126" s="319">
        <f>G126/F126</f>
        <v>0.8620807089962137</v>
      </c>
      <c r="I126" s="384">
        <f t="shared" ref="I126:I146" si="11">SUM(F126,C126)</f>
        <v>58197669.730000004</v>
      </c>
      <c r="J126" s="377">
        <f t="shared" ref="J126:J146" si="12">SUM(G126,D126)</f>
        <v>48847244.790000007</v>
      </c>
      <c r="K126" s="314">
        <f>J126/I126</f>
        <v>0.83933334473046783</v>
      </c>
    </row>
    <row r="127" spans="1:11" x14ac:dyDescent="0.25">
      <c r="A127" s="94" t="s">
        <v>3744</v>
      </c>
      <c r="B127" s="93" t="s">
        <v>216</v>
      </c>
      <c r="C127" s="304">
        <f>SUMIF('ПО КОРИСНИЦИМА'!$G$16:$G$1823,"Функција 912:",'ПО КОРИСНИЦИМА'!$H$16:$H$1823)</f>
        <v>33387768</v>
      </c>
      <c r="D127" s="304">
        <f>SUMIF('ПО КОРИСНИЦИМА'!$G$16:$G$1823,"Функција 912:",'ПО КОРИСНИЦИМА'!$I$16:$I$1823)</f>
        <v>14298109.6</v>
      </c>
      <c r="E127" s="319">
        <f>D127/C127</f>
        <v>0.42824394850233771</v>
      </c>
      <c r="F127" s="308">
        <f>SUMIF('ПО КОРИСНИЦИМА'!$G$16:$G$1823,"Функција 912:",'ПО КОРИСНИЦИМА'!$L$16:$L$1823)</f>
        <v>0</v>
      </c>
      <c r="G127" s="308">
        <v>0</v>
      </c>
      <c r="H127" s="308">
        <v>0</v>
      </c>
      <c r="I127" s="384">
        <f t="shared" si="11"/>
        <v>33387768</v>
      </c>
      <c r="J127" s="377">
        <f t="shared" si="12"/>
        <v>14298109.6</v>
      </c>
      <c r="K127" s="314">
        <f>J127/I127</f>
        <v>0.42824394850233771</v>
      </c>
    </row>
    <row r="128" spans="1:11" x14ac:dyDescent="0.25">
      <c r="A128" s="94" t="s">
        <v>4016</v>
      </c>
      <c r="B128" s="93" t="s">
        <v>217</v>
      </c>
      <c r="C128" s="308">
        <f>SUMIF('ПО КОРИСНИЦИМА'!$G$16:$G$1823,"Функција 913:",'ПО КОРИСНИЦИМА'!$H$16:$H$1823)</f>
        <v>0</v>
      </c>
      <c r="D128" s="308">
        <f>SUMIF('ПО КОРИСНИЦИМА'!$G$16:$G$1823,"Функција 913:",'ПО КОРИСНИЦИМА'!$H$16:$H$1823)</f>
        <v>0</v>
      </c>
      <c r="E128" s="319">
        <v>0</v>
      </c>
      <c r="F128" s="308">
        <f>SUMIF('ПО КОРИСНИЦИМА'!$G$16:$G$1823,"Функција 913:",'ПО КОРИСНИЦИМА'!$L$16:$L$1823)</f>
        <v>0</v>
      </c>
      <c r="G128" s="308">
        <v>0</v>
      </c>
      <c r="H128" s="308">
        <v>0</v>
      </c>
      <c r="I128" s="318">
        <f t="shared" si="11"/>
        <v>0</v>
      </c>
      <c r="J128" s="374">
        <f t="shared" si="12"/>
        <v>0</v>
      </c>
      <c r="K128" s="318">
        <v>0</v>
      </c>
    </row>
    <row r="129" spans="1:11" x14ac:dyDescent="0.25">
      <c r="A129" s="94" t="s">
        <v>4017</v>
      </c>
      <c r="B129" s="93" t="s">
        <v>218</v>
      </c>
      <c r="C129" s="308">
        <f>SUMIF('ПО КОРИСНИЦИМА'!$G$16:$G$1823,"Функција 914:",'ПО КОРИСНИЦИМА'!$H$16:$H$1823)</f>
        <v>0</v>
      </c>
      <c r="D129" s="308">
        <f>SUMIF('ПО КОРИСНИЦИМА'!$G$16:$G$1823,"Функција 914:",'ПО КОРИСНИЦИМА'!$H$16:$H$1823)</f>
        <v>0</v>
      </c>
      <c r="E129" s="319">
        <v>0</v>
      </c>
      <c r="F129" s="308">
        <f>SUMIF('ПО КОРИСНИЦИМА'!$G$16:$G$1823,"Функција 914:",'ПО КОРИСНИЦИМА'!$L$16:$L$1823)</f>
        <v>0</v>
      </c>
      <c r="G129" s="308">
        <v>0</v>
      </c>
      <c r="H129" s="308">
        <v>0</v>
      </c>
      <c r="I129" s="318">
        <f t="shared" si="11"/>
        <v>0</v>
      </c>
      <c r="J129" s="374">
        <f t="shared" si="12"/>
        <v>0</v>
      </c>
      <c r="K129" s="318">
        <v>0</v>
      </c>
    </row>
    <row r="130" spans="1:11" x14ac:dyDescent="0.25">
      <c r="A130" s="94" t="s">
        <v>4018</v>
      </c>
      <c r="B130" s="93" t="s">
        <v>219</v>
      </c>
      <c r="C130" s="308">
        <f>SUMIF('ПО КОРИСНИЦИМА'!$G$16:$G$1823,"Функција 915:",'ПО КОРИСНИЦИМА'!$H$16:$H$1823)</f>
        <v>0</v>
      </c>
      <c r="D130" s="308">
        <f>SUMIF('ПО КОРИСНИЦИМА'!$G$16:$G$1823,"Функција 915:",'ПО КОРИСНИЦИМА'!$H$16:$H$1823)</f>
        <v>0</v>
      </c>
      <c r="E130" s="319">
        <v>0</v>
      </c>
      <c r="F130" s="308">
        <f>SUMIF('ПО КОРИСНИЦИМА'!$G$16:$G$1823,"Функција 915:",'ПО КОРИСНИЦИМА'!$L$16:$L$1823)</f>
        <v>0</v>
      </c>
      <c r="G130" s="308">
        <v>0</v>
      </c>
      <c r="H130" s="308">
        <v>0</v>
      </c>
      <c r="I130" s="318">
        <f t="shared" si="11"/>
        <v>0</v>
      </c>
      <c r="J130" s="374">
        <f t="shared" si="12"/>
        <v>0</v>
      </c>
      <c r="K130" s="318">
        <v>0</v>
      </c>
    </row>
    <row r="131" spans="1:11" ht="23.25" x14ac:dyDescent="0.25">
      <c r="A131" s="94" t="s">
        <v>4019</v>
      </c>
      <c r="B131" s="93" t="s">
        <v>220</v>
      </c>
      <c r="C131" s="308">
        <f>SUMIF('ПО КОРИСНИЦИМА'!$G$16:$G$1823,"Функција 916:",'ПО КОРИСНИЦИМА'!$H$16:$H$1823)</f>
        <v>0</v>
      </c>
      <c r="D131" s="308">
        <f>SUMIF('ПО КОРИСНИЦИМА'!$G$16:$G$1823,"Функција 916:",'ПО КОРИСНИЦИМА'!$H$16:$H$1823)</f>
        <v>0</v>
      </c>
      <c r="E131" s="319">
        <v>0</v>
      </c>
      <c r="F131" s="308">
        <f>SUMIF('ПО КОРИСНИЦИМА'!$G$16:$G$1823,"Функција 916:",'ПО КОРИСНИЦИМА'!$L$16:$L$1823)</f>
        <v>0</v>
      </c>
      <c r="G131" s="308">
        <v>0</v>
      </c>
      <c r="H131" s="308">
        <v>0</v>
      </c>
      <c r="I131" s="318">
        <f t="shared" si="11"/>
        <v>0</v>
      </c>
      <c r="J131" s="374">
        <f t="shared" si="12"/>
        <v>0</v>
      </c>
      <c r="K131" s="318">
        <v>0</v>
      </c>
    </row>
    <row r="132" spans="1:11" x14ac:dyDescent="0.25">
      <c r="A132" s="92" t="s">
        <v>4020</v>
      </c>
      <c r="B132" s="93" t="s">
        <v>4021</v>
      </c>
      <c r="C132" s="304">
        <f>SUMIF('ПО КОРИСНИЦИМА'!$G$16:$G$1823,"Функција 920:",'ПО КОРИСНИЦИМА'!$H$16:$H$1823)</f>
        <v>14320000</v>
      </c>
      <c r="D132" s="304">
        <f>SUMIF('ПО КОРИСНИЦИМА'!$G$16:$G$1823,"Функција 920:",'ПО КОРИСНИЦИМА'!$I$16:$I$1823)</f>
        <v>5655338.7200000007</v>
      </c>
      <c r="E132" s="319">
        <f>D132/C132</f>
        <v>0.39492588826815644</v>
      </c>
      <c r="F132" s="308">
        <f>SUMIF('ПО КОРИСНИЦИМА'!$G$16:$G$1823,"Функција 920:",'ПО КОРИСНИЦИМА'!$L$16:$L$1823)</f>
        <v>0</v>
      </c>
      <c r="G132" s="308">
        <v>0</v>
      </c>
      <c r="H132" s="308">
        <v>0</v>
      </c>
      <c r="I132" s="384">
        <f t="shared" si="11"/>
        <v>14320000</v>
      </c>
      <c r="J132" s="377">
        <f t="shared" si="12"/>
        <v>5655338.7200000007</v>
      </c>
      <c r="K132" s="314">
        <f>J132/I132</f>
        <v>0.39492588826815644</v>
      </c>
    </row>
    <row r="133" spans="1:11" x14ac:dyDescent="0.25">
      <c r="A133" s="94" t="s">
        <v>4022</v>
      </c>
      <c r="B133" s="93" t="s">
        <v>222</v>
      </c>
      <c r="C133" s="308">
        <f>SUMIF('ПО КОРИСНИЦИМА'!$G$16:$G$1823,"Функција 921:",'ПО КОРИСНИЦИМА'!$H$16:$H$1823)</f>
        <v>0</v>
      </c>
      <c r="D133" s="308">
        <f>SUMIF('ПО КОРИСНИЦИМА'!$G$16:$G$1823,"Функција 921:",'ПО КОРИСНИЦИМА'!$H$16:$H$1823)</f>
        <v>0</v>
      </c>
      <c r="E133" s="319">
        <v>0</v>
      </c>
      <c r="F133" s="308">
        <f>SUMIF('ПО КОРИСНИЦИМА'!$G$16:$G$1823,"Функција 921:",'ПО КОРИСНИЦИМА'!$L$16:$L$1823)</f>
        <v>0</v>
      </c>
      <c r="G133" s="308">
        <v>0</v>
      </c>
      <c r="H133" s="308">
        <v>0</v>
      </c>
      <c r="I133" s="318">
        <f t="shared" si="11"/>
        <v>0</v>
      </c>
      <c r="J133" s="374">
        <f t="shared" si="12"/>
        <v>0</v>
      </c>
      <c r="K133" s="318">
        <v>0</v>
      </c>
    </row>
    <row r="134" spans="1:11" x14ac:dyDescent="0.25">
      <c r="A134" s="94" t="s">
        <v>4023</v>
      </c>
      <c r="B134" s="93" t="s">
        <v>223</v>
      </c>
      <c r="C134" s="308">
        <f>SUMIF('ПО КОРИСНИЦИМА'!$G$16:$G$1823,"Функција 922:",'ПО КОРИСНИЦИМА'!$H$16:$H$1823)</f>
        <v>0</v>
      </c>
      <c r="D134" s="308">
        <f>SUMIF('ПО КОРИСНИЦИМА'!$G$16:$G$1823,"Функција 922:",'ПО КОРИСНИЦИМА'!$H$16:$H$1823)</f>
        <v>0</v>
      </c>
      <c r="E134" s="319">
        <v>0</v>
      </c>
      <c r="F134" s="308">
        <f>SUMIF('ПО КОРИСНИЦИМА'!$G$16:$G$1823,"Функција 922:",'ПО КОРИСНИЦИМА'!$L$16:$L$1823)</f>
        <v>0</v>
      </c>
      <c r="G134" s="308">
        <v>0</v>
      </c>
      <c r="H134" s="308">
        <v>0</v>
      </c>
      <c r="I134" s="318">
        <f t="shared" si="11"/>
        <v>0</v>
      </c>
      <c r="J134" s="374">
        <f t="shared" si="12"/>
        <v>0</v>
      </c>
      <c r="K134" s="318">
        <v>0</v>
      </c>
    </row>
    <row r="135" spans="1:11" x14ac:dyDescent="0.25">
      <c r="A135" s="94" t="s">
        <v>4024</v>
      </c>
      <c r="B135" s="93" t="s">
        <v>224</v>
      </c>
      <c r="C135" s="308">
        <f>SUMIF('ПО КОРИСНИЦИМА'!$G$16:$G$1823,"Функција 923:",'ПО КОРИСНИЦИМА'!$H$16:$H$1823)</f>
        <v>0</v>
      </c>
      <c r="D135" s="308">
        <f>SUMIF('ПО КОРИСНИЦИМА'!$G$16:$G$1823,"Функција 923:",'ПО КОРИСНИЦИМА'!$H$16:$H$1823)</f>
        <v>0</v>
      </c>
      <c r="E135" s="319">
        <v>0</v>
      </c>
      <c r="F135" s="308">
        <f>SUMIF('ПО КОРИСНИЦИМА'!$G$16:$G$1823,"Функција 923:",'ПО КОРИСНИЦИМА'!$L$16:$L$1823)</f>
        <v>0</v>
      </c>
      <c r="G135" s="308">
        <v>0</v>
      </c>
      <c r="H135" s="308">
        <v>0</v>
      </c>
      <c r="I135" s="318">
        <f t="shared" si="11"/>
        <v>0</v>
      </c>
      <c r="J135" s="374">
        <f t="shared" si="12"/>
        <v>0</v>
      </c>
      <c r="K135" s="318">
        <v>0</v>
      </c>
    </row>
    <row r="136" spans="1:11" x14ac:dyDescent="0.25">
      <c r="A136" s="92" t="s">
        <v>4025</v>
      </c>
      <c r="B136" s="93" t="s">
        <v>4026</v>
      </c>
      <c r="C136" s="308">
        <f>SUMIF('ПО КОРИСНИЦИМА'!$G$16:$G$1823,"Функција 930:",'ПО КОРИСНИЦИМА'!$H$16:$H$1823)</f>
        <v>0</v>
      </c>
      <c r="D136" s="308">
        <f>SUMIF('ПО КОРИСНИЦИМА'!$G$16:$G$1823,"Функција 930:",'ПО КОРИСНИЦИМА'!$H$16:$H$1823)</f>
        <v>0</v>
      </c>
      <c r="E136" s="319">
        <v>0</v>
      </c>
      <c r="F136" s="308">
        <f>SUMIF('ПО КОРИСНИЦИМА'!$G$16:$G$1823,"Функција 930:",'ПО КОРИСНИЦИМА'!$L$16:$L$1823)</f>
        <v>0</v>
      </c>
      <c r="G136" s="308">
        <v>0</v>
      </c>
      <c r="H136" s="308">
        <v>0</v>
      </c>
      <c r="I136" s="318">
        <f t="shared" si="11"/>
        <v>0</v>
      </c>
      <c r="J136" s="374">
        <f t="shared" si="12"/>
        <v>0</v>
      </c>
      <c r="K136" s="318">
        <v>0</v>
      </c>
    </row>
    <row r="137" spans="1:11" x14ac:dyDescent="0.25">
      <c r="A137" s="94" t="s">
        <v>4027</v>
      </c>
      <c r="B137" s="93" t="s">
        <v>225</v>
      </c>
      <c r="C137" s="308">
        <f>SUMIF('ПО КОРИСНИЦИМА'!$G$16:$G$1823,"Функција 931:",'ПО КОРИСНИЦИМА'!$H$16:$H$1823)</f>
        <v>0</v>
      </c>
      <c r="D137" s="308">
        <f>SUMIF('ПО КОРИСНИЦИМА'!$G$16:$G$1823,"Функција 931:",'ПО КОРИСНИЦИМА'!$H$16:$H$1823)</f>
        <v>0</v>
      </c>
      <c r="E137" s="319">
        <v>0</v>
      </c>
      <c r="F137" s="308">
        <f>SUMIF('ПО КОРИСНИЦИМА'!$G$16:$G$1823,"Функција 931:",'ПО КОРИСНИЦИМА'!$L$16:$L$1823)</f>
        <v>0</v>
      </c>
      <c r="G137" s="308">
        <v>0</v>
      </c>
      <c r="H137" s="308">
        <v>0</v>
      </c>
      <c r="I137" s="318">
        <f t="shared" si="11"/>
        <v>0</v>
      </c>
      <c r="J137" s="374">
        <f t="shared" si="12"/>
        <v>0</v>
      </c>
      <c r="K137" s="318">
        <v>0</v>
      </c>
    </row>
    <row r="138" spans="1:11" x14ac:dyDescent="0.25">
      <c r="A138" s="94" t="s">
        <v>4028</v>
      </c>
      <c r="B138" s="93" t="s">
        <v>226</v>
      </c>
      <c r="C138" s="308">
        <f>SUMIF('ПО КОРИСНИЦИМА'!$G$16:$G$1823,"Функција 932:",'ПО КОРИСНИЦИМА'!$H$16:$H$1823)</f>
        <v>0</v>
      </c>
      <c r="D138" s="308">
        <f>SUMIF('ПО КОРИСНИЦИМА'!$G$16:$G$1823,"Функција 932:",'ПО КОРИСНИЦИМА'!$H$16:$H$1823)</f>
        <v>0</v>
      </c>
      <c r="E138" s="319">
        <v>0</v>
      </c>
      <c r="F138" s="308">
        <f>SUMIF('ПО КОРИСНИЦИМА'!$G$16:$G$1823,"Функција 932:",'ПО КОРИСНИЦИМА'!$L$16:$L$1823)</f>
        <v>0</v>
      </c>
      <c r="G138" s="308">
        <v>0</v>
      </c>
      <c r="H138" s="308">
        <v>0</v>
      </c>
      <c r="I138" s="318">
        <f t="shared" si="11"/>
        <v>0</v>
      </c>
      <c r="J138" s="374">
        <f t="shared" si="12"/>
        <v>0</v>
      </c>
      <c r="K138" s="318">
        <v>0</v>
      </c>
    </row>
    <row r="139" spans="1:11" x14ac:dyDescent="0.25">
      <c r="A139" s="92" t="s">
        <v>4029</v>
      </c>
      <c r="B139" s="93" t="s">
        <v>4030</v>
      </c>
      <c r="C139" s="308">
        <f>SUMIF('ПО КОРИСНИЦИМА'!$G$16:$G$1823,"Функција 940:",'ПО КОРИСНИЦИМА'!$H$16:$H$1823)</f>
        <v>0</v>
      </c>
      <c r="D139" s="308">
        <f>SUMIF('ПО КОРИСНИЦИМА'!$G$16:$G$1823,"Функција 940:",'ПО КОРИСНИЦИМА'!$H$16:$H$1823)</f>
        <v>0</v>
      </c>
      <c r="E139" s="319">
        <v>0</v>
      </c>
      <c r="F139" s="308">
        <f>SUMIF('ПО КОРИСНИЦИМА'!$G$16:$G$1823,"Функција 940:",'ПО КОРИСНИЦИМА'!$L$16:$L$1823)</f>
        <v>0</v>
      </c>
      <c r="G139" s="308">
        <v>0</v>
      </c>
      <c r="H139" s="308">
        <v>0</v>
      </c>
      <c r="I139" s="318">
        <f t="shared" si="11"/>
        <v>0</v>
      </c>
      <c r="J139" s="374">
        <f t="shared" si="12"/>
        <v>0</v>
      </c>
      <c r="K139" s="318">
        <v>0</v>
      </c>
    </row>
    <row r="140" spans="1:11" x14ac:dyDescent="0.25">
      <c r="A140" s="94" t="s">
        <v>4031</v>
      </c>
      <c r="B140" s="93" t="s">
        <v>228</v>
      </c>
      <c r="C140" s="308">
        <f>SUMIF('ПО КОРИСНИЦИМА'!$G$16:$G$1823,"Функција 941:",'ПО КОРИСНИЦИМА'!$H$16:$H$1823)</f>
        <v>0</v>
      </c>
      <c r="D140" s="308">
        <f>SUMIF('ПО КОРИСНИЦИМА'!$G$16:$G$1823,"Функција 941:",'ПО КОРИСНИЦИМА'!$H$16:$H$1823)</f>
        <v>0</v>
      </c>
      <c r="E140" s="319">
        <v>0</v>
      </c>
      <c r="F140" s="308">
        <f>SUMIF('ПО КОРИСНИЦИМА'!$G$16:$G$1823,"Функција 941:",'ПО КОРИСНИЦИМА'!$L$16:$L$1823)</f>
        <v>0</v>
      </c>
      <c r="G140" s="308">
        <v>0</v>
      </c>
      <c r="H140" s="308">
        <v>0</v>
      </c>
      <c r="I140" s="318">
        <f t="shared" si="11"/>
        <v>0</v>
      </c>
      <c r="J140" s="374">
        <f t="shared" si="12"/>
        <v>0</v>
      </c>
      <c r="K140" s="318">
        <v>0</v>
      </c>
    </row>
    <row r="141" spans="1:11" x14ac:dyDescent="0.25">
      <c r="A141" s="94" t="s">
        <v>4032</v>
      </c>
      <c r="B141" s="93" t="s">
        <v>4033</v>
      </c>
      <c r="C141" s="308">
        <f>SUMIF('ПО КОРИСНИЦИМА'!$G$16:$G$1823,"Функција 942:",'ПО КОРИСНИЦИМА'!$H$16:$H$1823)</f>
        <v>0</v>
      </c>
      <c r="D141" s="308">
        <f>SUMIF('ПО КОРИСНИЦИМА'!$G$16:$G$1823,"Функција 942:",'ПО КОРИСНИЦИМА'!$H$16:$H$1823)</f>
        <v>0</v>
      </c>
      <c r="E141" s="319">
        <v>0</v>
      </c>
      <c r="F141" s="308">
        <f>SUMIF('ПО КОРИСНИЦИМА'!$G$16:$G$1823,"Функција 942:",'ПО КОРИСНИЦИМА'!$L$16:$L$1823)</f>
        <v>0</v>
      </c>
      <c r="G141" s="308">
        <v>0</v>
      </c>
      <c r="H141" s="308">
        <v>0</v>
      </c>
      <c r="I141" s="318">
        <f t="shared" si="11"/>
        <v>0</v>
      </c>
      <c r="J141" s="374">
        <f t="shared" si="12"/>
        <v>0</v>
      </c>
      <c r="K141" s="318">
        <v>0</v>
      </c>
    </row>
    <row r="142" spans="1:11" x14ac:dyDescent="0.25">
      <c r="A142" s="92" t="s">
        <v>4034</v>
      </c>
      <c r="B142" s="93" t="s">
        <v>4035</v>
      </c>
      <c r="C142" s="308">
        <f>SUMIF('ПО КОРИСНИЦИМА'!$G$16:$G$1823,"Функција 950:",'ПО КОРИСНИЦИМА'!$H$16:$H$1823)</f>
        <v>0</v>
      </c>
      <c r="D142" s="308">
        <f>SUMIF('ПО КОРИСНИЦИМА'!$G$16:$G$1823,"Функција 950:",'ПО КОРИСНИЦИМА'!$H$16:$H$1823)</f>
        <v>0</v>
      </c>
      <c r="E142" s="319">
        <v>0</v>
      </c>
      <c r="F142" s="308">
        <f>SUMIF('ПО КОРИСНИЦИМА'!$G$16:$G$1823,"Функција 950:",'ПО КОРИСНИЦИМА'!$L$16:$L$1823)</f>
        <v>0</v>
      </c>
      <c r="G142" s="308">
        <v>0</v>
      </c>
      <c r="H142" s="308">
        <v>0</v>
      </c>
      <c r="I142" s="318">
        <f t="shared" si="11"/>
        <v>0</v>
      </c>
      <c r="J142" s="374">
        <f t="shared" si="12"/>
        <v>0</v>
      </c>
      <c r="K142" s="318">
        <v>0</v>
      </c>
    </row>
    <row r="143" spans="1:11" x14ac:dyDescent="0.25">
      <c r="A143" s="92" t="s">
        <v>4036</v>
      </c>
      <c r="B143" s="93" t="s">
        <v>4037</v>
      </c>
      <c r="C143" s="308">
        <f>SUMIF('ПО КОРИСНИЦИМА'!$G$16:$G$1823,"Функција 960:",'ПО КОРИСНИЦИМА'!$H$16:$H$1823)</f>
        <v>0</v>
      </c>
      <c r="D143" s="308">
        <f>SUMIF('ПО КОРИСНИЦИМА'!$G$16:$G$1823,"Функција 960:",'ПО КОРИСНИЦИМА'!$H$16:$H$1823)</f>
        <v>0</v>
      </c>
      <c r="E143" s="319">
        <v>0</v>
      </c>
      <c r="F143" s="308">
        <f>SUMIF('ПО КОРИСНИЦИМА'!$G$16:$G$1823,"Функција 960:",'ПО КОРИСНИЦИМА'!$L$16:$L$1823)</f>
        <v>0</v>
      </c>
      <c r="G143" s="308">
        <v>0</v>
      </c>
      <c r="H143" s="308">
        <v>0</v>
      </c>
      <c r="I143" s="318">
        <f t="shared" si="11"/>
        <v>0</v>
      </c>
      <c r="J143" s="374">
        <f t="shared" si="12"/>
        <v>0</v>
      </c>
      <c r="K143" s="318">
        <v>0</v>
      </c>
    </row>
    <row r="144" spans="1:11" x14ac:dyDescent="0.25">
      <c r="A144" s="103" t="s">
        <v>4038</v>
      </c>
      <c r="B144" s="89" t="s">
        <v>4039</v>
      </c>
      <c r="C144" s="308">
        <f>SUMIF('ПО КОРИСНИЦИМА'!$G$16:$G$1823,"Функција 970:",'ПО КОРИСНИЦИМА'!$H$16:$H$1823)</f>
        <v>0</v>
      </c>
      <c r="D144" s="308">
        <f>SUMIF('ПО КОРИСНИЦИМА'!$G$16:$G$1823,"Функција 970:",'ПО КОРИСНИЦИМА'!$H$16:$H$1823)</f>
        <v>0</v>
      </c>
      <c r="E144" s="319">
        <v>0</v>
      </c>
      <c r="F144" s="308">
        <f>SUMIF('ПО КОРИСНИЦИМА'!$G$16:$G$1823,"Функција 970:",'ПО КОРИСНИЦИМА'!$L$16:$L$1823)</f>
        <v>0</v>
      </c>
      <c r="G144" s="308">
        <v>0</v>
      </c>
      <c r="H144" s="308">
        <v>0</v>
      </c>
      <c r="I144" s="318">
        <f t="shared" si="11"/>
        <v>0</v>
      </c>
      <c r="J144" s="374">
        <f t="shared" si="12"/>
        <v>0</v>
      </c>
      <c r="K144" s="318">
        <v>0</v>
      </c>
    </row>
    <row r="145" spans="1:11" x14ac:dyDescent="0.25">
      <c r="A145" s="310" t="s">
        <v>4040</v>
      </c>
      <c r="B145" s="311" t="s">
        <v>233</v>
      </c>
      <c r="C145" s="322">
        <f>SUMIF('ПО КОРИСНИЦИМА'!$G$16:$G$1823,"Функција 980:",'ПО КОРИСНИЦИМА'!$H$16:$H$1823)</f>
        <v>0</v>
      </c>
      <c r="D145" s="322">
        <f>SUMIF('ПО КОРИСНИЦИМА'!$G$16:$G$1823,"Функција 980:",'ПО КОРИСНИЦИМА'!$H$16:$H$1823)</f>
        <v>0</v>
      </c>
      <c r="E145" s="426">
        <v>0</v>
      </c>
      <c r="F145" s="322">
        <f>SUMIF('ПО КОРИСНИЦИМА'!$G$16:$G$1823,"Функција 980:",'ПО КОРИСНИЦИМА'!$L$16:$L$1823)</f>
        <v>0</v>
      </c>
      <c r="G145" s="322">
        <v>0</v>
      </c>
      <c r="H145" s="322">
        <v>0</v>
      </c>
      <c r="I145" s="389">
        <f t="shared" si="11"/>
        <v>0</v>
      </c>
      <c r="J145" s="374">
        <f t="shared" si="12"/>
        <v>0</v>
      </c>
      <c r="K145" s="323">
        <v>0</v>
      </c>
    </row>
    <row r="146" spans="1:11" ht="26.25" customHeight="1" x14ac:dyDescent="0.25">
      <c r="A146" s="312"/>
      <c r="B146" s="313" t="s">
        <v>4041</v>
      </c>
      <c r="C146" s="330">
        <f>SUM(C11,C21,C38,C45,C85,C92,C99,C117,C124)</f>
        <v>417859748.81</v>
      </c>
      <c r="D146" s="330" t="e">
        <f>SUM(D11,D21,D38,D45,D85,D92,D99,D117,D124)</f>
        <v>#REF!</v>
      </c>
      <c r="E146" s="331" t="e">
        <f>D146/C146</f>
        <v>#REF!</v>
      </c>
      <c r="F146" s="330">
        <f>SUM(F11,F21,F38,F45,F85,F92,F99,F117,F124)</f>
        <v>106675200.68000001</v>
      </c>
      <c r="G146" s="330" t="e">
        <f>SUM(G11,G21,G38,G45,G85,G92,G99,G117,G124)</f>
        <v>#REF!</v>
      </c>
      <c r="H146" s="331" t="e">
        <f>G146/F146</f>
        <v>#REF!</v>
      </c>
      <c r="I146" s="390">
        <f t="shared" si="11"/>
        <v>524534949.49000001</v>
      </c>
      <c r="J146" s="379" t="e">
        <f t="shared" si="12"/>
        <v>#REF!</v>
      </c>
      <c r="K146" s="332" t="e">
        <f>J146/I146</f>
        <v>#REF!</v>
      </c>
    </row>
    <row r="147" spans="1:11" x14ac:dyDescent="0.25">
      <c r="A147" s="104"/>
      <c r="B147" s="105"/>
      <c r="C147" s="106">
        <f>C146-'По основ. нам.'!C89</f>
        <v>0</v>
      </c>
      <c r="D147" s="106"/>
      <c r="E147" s="207"/>
      <c r="F147" s="106">
        <f>F146-'По основ. нам.'!F89</f>
        <v>0</v>
      </c>
      <c r="G147" s="106"/>
      <c r="H147" s="106"/>
      <c r="I147" s="106"/>
    </row>
    <row r="148" spans="1:11" ht="15.75" hidden="1" x14ac:dyDescent="0.25">
      <c r="A148" s="1167" t="s">
        <v>4889</v>
      </c>
      <c r="B148" s="1167"/>
      <c r="C148" s="1167"/>
      <c r="D148" s="1167"/>
      <c r="E148" s="1167"/>
      <c r="F148" s="1167"/>
      <c r="G148" s="1167"/>
      <c r="H148" s="1167"/>
      <c r="I148" s="1167"/>
    </row>
    <row r="149" spans="1:11" hidden="1" x14ac:dyDescent="0.25"/>
    <row r="150" spans="1:11" hidden="1" x14ac:dyDescent="0.25">
      <c r="A150" s="1139" t="s">
        <v>4897</v>
      </c>
      <c r="B150" s="1139"/>
      <c r="C150" s="1139"/>
      <c r="D150" s="1139"/>
      <c r="E150" s="1139"/>
      <c r="F150" s="1139"/>
      <c r="G150" s="1139"/>
      <c r="H150" s="1139"/>
      <c r="I150" s="1139"/>
    </row>
    <row r="151" spans="1:11" hidden="1" x14ac:dyDescent="0.25">
      <c r="A151" s="1126" t="s">
        <v>4898</v>
      </c>
      <c r="B151" s="1126"/>
      <c r="C151" s="1126"/>
      <c r="D151" s="1126"/>
      <c r="E151" s="1126"/>
      <c r="F151" s="1126"/>
      <c r="G151" s="1126"/>
      <c r="H151" s="1126"/>
      <c r="I151" s="1126"/>
    </row>
    <row r="152" spans="1:11" hidden="1" x14ac:dyDescent="0.25"/>
    <row r="153" spans="1:11" ht="15.75" hidden="1" x14ac:dyDescent="0.25">
      <c r="A153" s="1169" t="s">
        <v>4896</v>
      </c>
      <c r="B153" s="1169"/>
      <c r="C153" s="1169"/>
      <c r="D153" s="1169"/>
      <c r="E153" s="1169"/>
      <c r="F153" s="1169"/>
      <c r="G153" s="1169"/>
      <c r="H153" s="1169"/>
      <c r="I153" s="1169"/>
    </row>
    <row r="154" spans="1:11" hidden="1" x14ac:dyDescent="0.25"/>
    <row r="155" spans="1:11" hidden="1" x14ac:dyDescent="0.25">
      <c r="A155" s="84" t="s">
        <v>4890</v>
      </c>
    </row>
    <row r="156" spans="1:11" hidden="1" x14ac:dyDescent="0.25">
      <c r="A156" s="84" t="s">
        <v>4895</v>
      </c>
    </row>
    <row r="157" spans="1:11" hidden="1" x14ac:dyDescent="0.25"/>
    <row r="158" spans="1:11" hidden="1" x14ac:dyDescent="0.25"/>
    <row r="159" spans="1:11" hidden="1" x14ac:dyDescent="0.25"/>
    <row r="160" spans="1:11" hidden="1" x14ac:dyDescent="0.25">
      <c r="A160" s="1139" t="s">
        <v>4891</v>
      </c>
      <c r="B160" s="1139"/>
      <c r="C160" s="1139"/>
      <c r="D160" s="1139"/>
      <c r="E160" s="1139"/>
      <c r="F160" s="1139"/>
      <c r="G160" s="1139"/>
      <c r="H160" s="1139"/>
      <c r="I160" s="1139"/>
    </row>
    <row r="161" spans="1:10" hidden="1" x14ac:dyDescent="0.25">
      <c r="A161" s="1139" t="s">
        <v>4892</v>
      </c>
      <c r="B161" s="1139"/>
      <c r="C161" s="1139"/>
      <c r="D161" s="1139"/>
      <c r="E161" s="1139"/>
      <c r="F161" s="1139"/>
      <c r="G161" s="1139"/>
      <c r="H161" s="1139"/>
      <c r="I161" s="1139"/>
    </row>
    <row r="162" spans="1:10" hidden="1" x14ac:dyDescent="0.25">
      <c r="A162" s="548"/>
      <c r="B162" s="548"/>
      <c r="C162" s="548"/>
      <c r="D162" s="548"/>
      <c r="E162" s="1165" t="s">
        <v>5061</v>
      </c>
      <c r="F162" s="1165"/>
      <c r="G162" s="548"/>
      <c r="H162" s="548"/>
      <c r="I162" s="1165" t="s">
        <v>5060</v>
      </c>
      <c r="J162" s="1165"/>
    </row>
    <row r="163" spans="1:10" ht="39.75" hidden="1" customHeight="1" x14ac:dyDescent="0.25">
      <c r="E163" s="554"/>
      <c r="F163" s="553"/>
      <c r="I163" s="553"/>
      <c r="J163" s="553"/>
    </row>
    <row r="164" spans="1:10" hidden="1" x14ac:dyDescent="0.25">
      <c r="C164" s="1165" t="s">
        <v>4893</v>
      </c>
      <c r="D164" s="1165"/>
      <c r="E164" s="1165"/>
      <c r="F164" s="1165"/>
      <c r="G164" s="1165"/>
      <c r="H164" s="1165"/>
      <c r="I164" s="1165"/>
    </row>
    <row r="165" spans="1:10" hidden="1" x14ac:dyDescent="0.25">
      <c r="C165" s="391"/>
      <c r="D165" s="391"/>
      <c r="E165" s="427"/>
      <c r="F165" s="391"/>
      <c r="G165" s="391"/>
      <c r="H165" s="391"/>
      <c r="I165" s="391"/>
    </row>
    <row r="166" spans="1:10" hidden="1" x14ac:dyDescent="0.25">
      <c r="C166" s="392"/>
      <c r="D166" s="392"/>
      <c r="E166" s="428"/>
      <c r="F166" s="392"/>
      <c r="G166" s="392"/>
      <c r="H166" s="392"/>
      <c r="I166" s="392"/>
    </row>
    <row r="167" spans="1:10" hidden="1" x14ac:dyDescent="0.25">
      <c r="C167" s="1166" t="s">
        <v>4894</v>
      </c>
      <c r="D167" s="1166"/>
      <c r="E167" s="1166"/>
      <c r="F167" s="1166"/>
      <c r="G167" s="1166"/>
      <c r="H167" s="1166"/>
      <c r="I167" s="1166"/>
    </row>
    <row r="168" spans="1:10" hidden="1" x14ac:dyDescent="0.25"/>
    <row r="172" spans="1:10" x14ac:dyDescent="0.25">
      <c r="I172" s="84">
        <v>520429233.16000003</v>
      </c>
    </row>
    <row r="173" spans="1:10" x14ac:dyDescent="0.25">
      <c r="C173" s="608">
        <f>C146+950000</f>
        <v>418809748.81</v>
      </c>
      <c r="J173" s="84">
        <v>297234501.30000001</v>
      </c>
    </row>
    <row r="174" spans="1:10" x14ac:dyDescent="0.25">
      <c r="D174" s="203" t="e">
        <f>D146-'ПО КОРИСНИЦИМА'!I1823</f>
        <v>#REF!</v>
      </c>
      <c r="I174" s="84">
        <f>ljkl-I172</f>
        <v>4105716.3299999833</v>
      </c>
    </row>
    <row r="176" spans="1:10" x14ac:dyDescent="0.25">
      <c r="F176" s="84">
        <v>106404085.16</v>
      </c>
      <c r="G176" s="203"/>
    </row>
    <row r="177" spans="3:6" x14ac:dyDescent="0.25">
      <c r="C177" s="608">
        <f>C173-C146</f>
        <v>950000</v>
      </c>
    </row>
    <row r="178" spans="3:6" x14ac:dyDescent="0.25">
      <c r="F178" s="608">
        <f>F146-F176</f>
        <v>271115.52000001073</v>
      </c>
    </row>
  </sheetData>
  <mergeCells count="16">
    <mergeCell ref="A1:I1"/>
    <mergeCell ref="A5:I5"/>
    <mergeCell ref="A153:I153"/>
    <mergeCell ref="A160:I160"/>
    <mergeCell ref="A6:I6"/>
    <mergeCell ref="A7:K7"/>
    <mergeCell ref="A8:K8"/>
    <mergeCell ref="A3:L3"/>
    <mergeCell ref="A161:I161"/>
    <mergeCell ref="C164:I164"/>
    <mergeCell ref="C167:I167"/>
    <mergeCell ref="A148:I148"/>
    <mergeCell ref="A150:I150"/>
    <mergeCell ref="A151:I151"/>
    <mergeCell ref="I162:J162"/>
    <mergeCell ref="E162:F162"/>
  </mergeCells>
  <conditionalFormatting sqref="C147:I147">
    <cfRule type="cellIs" dxfId="0" priority="2" stopIfTrue="1" operator="notEqual">
      <formula>0</formula>
    </cfRule>
  </conditionalFormatting>
  <conditionalFormatting sqref="C147:I147">
    <cfRule type="cellIs" priority="1" operator="notEqual">
      <formula>0</formula>
    </cfRule>
  </conditionalFormatting>
  <printOptions horizontalCentered="1"/>
  <pageMargins left="0" right="0" top="7.874015748031496E-2" bottom="7.874015748031496E-2" header="0" footer="0"/>
  <pageSetup scale="99" orientation="portrait" r:id="rId1"/>
  <rowBreaks count="4" manualBreakCount="4">
    <brk id="48" max="10" man="1"/>
    <brk id="96" max="10" man="1"/>
    <brk id="146" max="10" man="1"/>
    <brk id="167" max="16383" man="1"/>
  </rowBreaks>
  <colBreaks count="1" manualBreakCount="1">
    <brk id="11" max="1048575" man="1"/>
  </colBreaks>
  <cellWatches>
    <cellWatch r="C147"/>
  </cellWatche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AG1884"/>
  <sheetViews>
    <sheetView view="pageBreakPreview" topLeftCell="A17" zoomScaleSheetLayoutView="100" workbookViewId="0">
      <selection activeCell="H53" sqref="H53"/>
    </sheetView>
  </sheetViews>
  <sheetFormatPr defaultRowHeight="15" x14ac:dyDescent="0.25"/>
  <cols>
    <col min="1" max="1" width="5" style="759" customWidth="1"/>
    <col min="2" max="2" width="5.85546875" style="760" customWidth="1"/>
    <col min="3" max="3" width="9.28515625" style="810" customWidth="1"/>
    <col min="4" max="4" width="5.42578125" style="759" customWidth="1"/>
    <col min="5" max="5" width="5.140625" style="760" customWidth="1"/>
    <col min="6" max="6" width="7.140625" style="759" customWidth="1"/>
    <col min="7" max="7" width="46.5703125" style="879" customWidth="1"/>
    <col min="8" max="8" width="17.7109375" style="763" customWidth="1"/>
    <col min="9" max="9" width="15.140625" style="763" hidden="1" customWidth="1"/>
    <col min="10" max="10" width="9.7109375" style="764" hidden="1" customWidth="1"/>
    <col min="11" max="11" width="15.7109375" style="763" hidden="1" customWidth="1"/>
    <col min="12" max="12" width="16.28515625" style="765" customWidth="1"/>
    <col min="13" max="13" width="14" style="765" hidden="1" customWidth="1"/>
    <col min="14" max="14" width="9.5703125" style="766" hidden="1" customWidth="1"/>
    <col min="15" max="15" width="15" style="765" hidden="1" customWidth="1"/>
    <col min="16" max="16" width="16" style="765" customWidth="1"/>
    <col min="17" max="17" width="15.42578125" style="765" hidden="1" customWidth="1"/>
    <col min="18" max="18" width="10.42578125" style="766" hidden="1" customWidth="1"/>
    <col min="19" max="19" width="15.140625" style="765" hidden="1" customWidth="1"/>
    <col min="20" max="20" width="9.140625" style="827" customWidth="1"/>
    <col min="21" max="21" width="2.85546875" style="84" customWidth="1"/>
    <col min="22" max="22" width="17.28515625" style="203" hidden="1" customWidth="1"/>
    <col min="23" max="23" width="17.140625" style="203" hidden="1" customWidth="1"/>
    <col min="24" max="24" width="13.7109375" style="833" hidden="1" customWidth="1"/>
    <col min="25" max="25" width="13.85546875" style="834" hidden="1" customWidth="1"/>
    <col min="26" max="26" width="15" style="830" hidden="1" customWidth="1"/>
    <col min="27" max="27" width="15" style="831" hidden="1" customWidth="1"/>
    <col min="28" max="28" width="14.42578125" style="84" hidden="1" customWidth="1"/>
    <col min="29" max="29" width="0" style="84" hidden="1" customWidth="1"/>
    <col min="30" max="30" width="23.7109375" style="84" hidden="1" customWidth="1"/>
    <col min="31" max="31" width="0" style="84" hidden="1" customWidth="1"/>
    <col min="32" max="32" width="9.7109375" style="84" bestFit="1" customWidth="1"/>
    <col min="33" max="33" width="11.5703125" style="84" bestFit="1" customWidth="1"/>
    <col min="34" max="16384" width="9.140625" style="84"/>
  </cols>
  <sheetData>
    <row r="1" spans="1:27" ht="15.75" x14ac:dyDescent="0.25">
      <c r="A1" s="1172" t="s">
        <v>5039</v>
      </c>
      <c r="B1" s="1172"/>
      <c r="C1" s="1172"/>
      <c r="D1" s="1172"/>
      <c r="E1" s="1172"/>
      <c r="F1" s="1172"/>
      <c r="G1" s="1172"/>
      <c r="H1" s="1172"/>
      <c r="I1" s="1172"/>
      <c r="J1" s="1172"/>
      <c r="K1" s="1172"/>
      <c r="L1" s="1172"/>
      <c r="M1" s="1172"/>
      <c r="N1" s="1172"/>
      <c r="O1" s="1172"/>
      <c r="P1" s="1172"/>
      <c r="X1" s="828" t="s">
        <v>5314</v>
      </c>
      <c r="Y1" s="829" t="s">
        <v>5315</v>
      </c>
      <c r="Z1" s="830" t="s">
        <v>5374</v>
      </c>
      <c r="AA1" s="831" t="s">
        <v>5373</v>
      </c>
    </row>
    <row r="2" spans="1:27" x14ac:dyDescent="0.25">
      <c r="B2" s="759"/>
      <c r="C2" s="759"/>
      <c r="G2" s="759"/>
      <c r="H2" s="832"/>
      <c r="I2" s="759"/>
      <c r="J2" s="759"/>
      <c r="K2" s="759"/>
      <c r="L2" s="832"/>
      <c r="M2" s="759"/>
      <c r="N2" s="759"/>
      <c r="O2" s="759"/>
      <c r="P2" s="759"/>
    </row>
    <row r="3" spans="1:27" ht="15.75" customHeight="1" x14ac:dyDescent="0.25">
      <c r="A3" s="1174" t="s">
        <v>4889</v>
      </c>
      <c r="B3" s="1174"/>
      <c r="C3" s="1174"/>
      <c r="D3" s="1174"/>
      <c r="E3" s="1174"/>
      <c r="F3" s="1174"/>
      <c r="G3" s="1174"/>
      <c r="H3" s="1174"/>
      <c r="I3" s="1174"/>
      <c r="J3" s="1174"/>
      <c r="K3" s="1174"/>
      <c r="L3" s="1174"/>
      <c r="M3" s="1174"/>
      <c r="N3" s="1174"/>
      <c r="O3" s="1174"/>
      <c r="P3" s="1174"/>
    </row>
    <row r="4" spans="1:27" ht="15.75" customHeight="1" x14ac:dyDescent="0.25">
      <c r="A4" s="835"/>
      <c r="B4" s="835"/>
      <c r="C4" s="835"/>
      <c r="D4" s="835"/>
      <c r="E4" s="835"/>
      <c r="F4" s="835"/>
      <c r="G4" s="835"/>
      <c r="H4" s="835"/>
      <c r="I4" s="835"/>
      <c r="J4" s="835"/>
      <c r="K4" s="835"/>
      <c r="L4" s="835"/>
      <c r="M4" s="835"/>
      <c r="N4" s="835"/>
      <c r="O4" s="835"/>
      <c r="P4" s="835"/>
    </row>
    <row r="5" spans="1:27" x14ac:dyDescent="0.25">
      <c r="A5" s="1154" t="s">
        <v>5521</v>
      </c>
      <c r="B5" s="1154"/>
      <c r="C5" s="1154"/>
      <c r="D5" s="1154"/>
      <c r="E5" s="1154"/>
      <c r="F5" s="1154"/>
      <c r="G5" s="1154"/>
      <c r="H5" s="1154"/>
      <c r="I5" s="1154"/>
      <c r="J5" s="1154"/>
      <c r="K5" s="1154"/>
      <c r="L5" s="1154"/>
      <c r="M5" s="1154"/>
      <c r="N5" s="1154"/>
      <c r="O5" s="1154"/>
      <c r="P5" s="1154"/>
    </row>
    <row r="6" spans="1:27" x14ac:dyDescent="0.25">
      <c r="A6" s="758"/>
      <c r="B6" s="758"/>
      <c r="C6" s="758"/>
      <c r="D6" s="758"/>
      <c r="E6" s="810"/>
      <c r="F6" s="758"/>
      <c r="G6" s="758"/>
      <c r="H6" s="836"/>
      <c r="I6" s="758"/>
      <c r="J6" s="758"/>
      <c r="K6" s="758"/>
      <c r="L6" s="836"/>
      <c r="M6" s="758"/>
      <c r="N6" s="758"/>
      <c r="O6" s="758"/>
      <c r="P6" s="758"/>
    </row>
    <row r="7" spans="1:27" hidden="1" x14ac:dyDescent="0.25">
      <c r="A7" s="758"/>
      <c r="B7" s="758"/>
      <c r="C7" s="758"/>
      <c r="D7" s="758"/>
      <c r="E7" s="810"/>
      <c r="F7" s="758"/>
      <c r="G7" s="758"/>
      <c r="H7" s="836"/>
      <c r="I7" s="758"/>
      <c r="J7" s="758"/>
      <c r="K7" s="758"/>
      <c r="L7" s="836"/>
      <c r="M7" s="758"/>
      <c r="N7" s="758"/>
      <c r="O7" s="758"/>
      <c r="P7" s="758"/>
    </row>
    <row r="8" spans="1:27" hidden="1" x14ac:dyDescent="0.25">
      <c r="A8" s="758"/>
      <c r="B8" s="758"/>
      <c r="C8" s="758"/>
      <c r="D8" s="758"/>
      <c r="E8" s="810"/>
      <c r="F8" s="758"/>
      <c r="G8" s="758"/>
      <c r="H8" s="836"/>
      <c r="I8" s="758"/>
      <c r="J8" s="758"/>
      <c r="K8" s="758"/>
      <c r="L8" s="836"/>
      <c r="M8" s="758"/>
      <c r="N8" s="758"/>
      <c r="O8" s="758"/>
      <c r="P8" s="758"/>
    </row>
    <row r="9" spans="1:27" x14ac:dyDescent="0.25">
      <c r="A9" s="360" t="s">
        <v>5534</v>
      </c>
      <c r="B9" s="360"/>
      <c r="C9" s="360"/>
      <c r="D9" s="360"/>
      <c r="E9" s="360"/>
      <c r="F9" s="360"/>
      <c r="G9" s="360"/>
      <c r="H9" s="360"/>
      <c r="I9" s="360"/>
      <c r="J9" s="837"/>
      <c r="K9" s="837"/>
      <c r="L9" s="837"/>
      <c r="M9" s="837"/>
      <c r="N9" s="837"/>
      <c r="O9" s="837"/>
      <c r="P9" s="837"/>
    </row>
    <row r="10" spans="1:27" x14ac:dyDescent="0.25">
      <c r="A10" s="837" t="s">
        <v>5093</v>
      </c>
      <c r="B10" s="837"/>
      <c r="C10" s="837"/>
      <c r="D10" s="837"/>
      <c r="E10" s="837"/>
      <c r="F10" s="837"/>
      <c r="G10" s="837"/>
      <c r="H10" s="837"/>
      <c r="I10" s="837"/>
      <c r="J10" s="837"/>
      <c r="K10" s="837"/>
      <c r="L10" s="837"/>
      <c r="M10" s="837"/>
      <c r="N10" s="837"/>
      <c r="O10" s="837"/>
      <c r="P10" s="837"/>
    </row>
    <row r="11" spans="1:27" ht="15.75" x14ac:dyDescent="0.25">
      <c r="A11" s="1172" t="s">
        <v>4885</v>
      </c>
      <c r="B11" s="1174"/>
      <c r="C11" s="1174"/>
      <c r="D11" s="1174"/>
      <c r="E11" s="1174"/>
      <c r="F11" s="1174"/>
      <c r="G11" s="1174"/>
      <c r="H11" s="1174"/>
      <c r="I11" s="1174"/>
      <c r="J11" s="1174"/>
      <c r="K11" s="1174"/>
      <c r="L11" s="1174"/>
      <c r="M11" s="1174"/>
      <c r="N11" s="1174"/>
      <c r="O11" s="1174"/>
      <c r="P11" s="1174"/>
    </row>
    <row r="12" spans="1:27" ht="28.5" hidden="1" customHeight="1" x14ac:dyDescent="0.25">
      <c r="A12" s="1175" t="s">
        <v>5079</v>
      </c>
      <c r="B12" s="1174"/>
      <c r="C12" s="1174"/>
      <c r="D12" s="1174"/>
      <c r="E12" s="1174"/>
      <c r="F12" s="1174"/>
      <c r="G12" s="1174"/>
      <c r="H12" s="1174"/>
      <c r="I12" s="1174"/>
      <c r="J12" s="1174"/>
      <c r="K12" s="1174"/>
      <c r="L12" s="1174"/>
      <c r="M12" s="1174"/>
      <c r="N12" s="1174"/>
      <c r="O12" s="1174"/>
      <c r="P12" s="1174"/>
      <c r="Q12" s="1174"/>
      <c r="R12" s="1174"/>
      <c r="X12" s="838"/>
      <c r="Y12" s="839"/>
      <c r="Z12" s="840" t="s">
        <v>5086</v>
      </c>
      <c r="AA12" s="841" t="s">
        <v>5086</v>
      </c>
    </row>
    <row r="13" spans="1:27" ht="15.75" hidden="1" x14ac:dyDescent="0.25">
      <c r="A13" s="1173" t="s">
        <v>4885</v>
      </c>
      <c r="B13" s="1173"/>
      <c r="C13" s="1173"/>
      <c r="D13" s="1173"/>
      <c r="E13" s="1173"/>
      <c r="F13" s="1173"/>
      <c r="G13" s="1173"/>
      <c r="H13" s="1173"/>
      <c r="I13" s="1173"/>
      <c r="J13" s="1173"/>
      <c r="K13" s="1173"/>
      <c r="L13" s="1173"/>
      <c r="M13" s="1173"/>
      <c r="N13" s="1173"/>
      <c r="O13" s="1173"/>
      <c r="P13" s="1173"/>
      <c r="Q13" s="1173"/>
      <c r="R13" s="1173"/>
    </row>
    <row r="14" spans="1:27" ht="81" customHeight="1" x14ac:dyDescent="0.25">
      <c r="A14" s="842" t="s">
        <v>4103</v>
      </c>
      <c r="B14" s="843" t="s">
        <v>4104</v>
      </c>
      <c r="C14" s="844" t="s">
        <v>4108</v>
      </c>
      <c r="D14" s="842" t="s">
        <v>4105</v>
      </c>
      <c r="E14" s="843" t="s">
        <v>4106</v>
      </c>
      <c r="F14" s="845" t="s">
        <v>4109</v>
      </c>
      <c r="G14" s="846" t="s">
        <v>264</v>
      </c>
      <c r="H14" s="847" t="s">
        <v>25</v>
      </c>
      <c r="I14" s="847" t="s">
        <v>4752</v>
      </c>
      <c r="J14" s="848" t="s">
        <v>4753</v>
      </c>
      <c r="K14" s="847" t="s">
        <v>4756</v>
      </c>
      <c r="L14" s="847" t="s">
        <v>3759</v>
      </c>
      <c r="M14" s="849" t="s">
        <v>4754</v>
      </c>
      <c r="N14" s="848" t="s">
        <v>4753</v>
      </c>
      <c r="O14" s="847" t="s">
        <v>4756</v>
      </c>
      <c r="P14" s="850" t="s">
        <v>4107</v>
      </c>
      <c r="Q14" s="849" t="s">
        <v>4755</v>
      </c>
      <c r="R14" s="848" t="s">
        <v>4753</v>
      </c>
      <c r="S14" s="847" t="s">
        <v>4757</v>
      </c>
    </row>
    <row r="15" spans="1:27" ht="18.75" hidden="1" customHeight="1" thickBot="1" x14ac:dyDescent="0.3">
      <c r="A15" s="851">
        <v>1</v>
      </c>
      <c r="B15" s="852">
        <v>2</v>
      </c>
      <c r="C15" s="853">
        <v>4</v>
      </c>
      <c r="D15" s="851">
        <v>3</v>
      </c>
      <c r="E15" s="852">
        <v>6</v>
      </c>
      <c r="F15" s="854">
        <v>7</v>
      </c>
      <c r="G15" s="851">
        <v>8</v>
      </c>
      <c r="H15" s="855">
        <v>9</v>
      </c>
      <c r="I15" s="856">
        <v>10</v>
      </c>
      <c r="J15" s="856">
        <v>11</v>
      </c>
      <c r="K15" s="856">
        <v>12</v>
      </c>
      <c r="L15" s="855">
        <v>13</v>
      </c>
      <c r="M15" s="857">
        <v>14</v>
      </c>
      <c r="N15" s="857">
        <v>15</v>
      </c>
      <c r="O15" s="857">
        <v>16</v>
      </c>
      <c r="P15" s="857">
        <v>17</v>
      </c>
      <c r="Q15" s="857">
        <v>18</v>
      </c>
      <c r="R15" s="857">
        <v>19</v>
      </c>
      <c r="S15" s="858">
        <v>20</v>
      </c>
    </row>
    <row r="16" spans="1:27" ht="15" customHeight="1" x14ac:dyDescent="0.25">
      <c r="A16" s="859">
        <v>1</v>
      </c>
      <c r="B16" s="860"/>
      <c r="C16" s="861"/>
      <c r="D16" s="862"/>
      <c r="E16" s="863"/>
      <c r="F16" s="862"/>
      <c r="G16" s="864" t="s">
        <v>4763</v>
      </c>
      <c r="H16" s="865"/>
      <c r="I16" s="865"/>
      <c r="J16" s="866"/>
      <c r="K16" s="865"/>
      <c r="L16" s="867"/>
      <c r="M16" s="867"/>
      <c r="N16" s="868"/>
      <c r="O16" s="867"/>
      <c r="P16" s="867"/>
      <c r="Q16" s="867"/>
      <c r="R16" s="868"/>
      <c r="S16" s="867"/>
    </row>
    <row r="17" spans="3:31" ht="28.5" x14ac:dyDescent="0.25">
      <c r="C17" s="761" t="s">
        <v>4899</v>
      </c>
      <c r="D17" s="770"/>
      <c r="G17" s="869" t="s">
        <v>4955</v>
      </c>
    </row>
    <row r="18" spans="3:31" x14ac:dyDescent="0.25">
      <c r="C18" s="761" t="s">
        <v>4901</v>
      </c>
      <c r="D18" s="770"/>
      <c r="G18" s="869" t="s">
        <v>4956</v>
      </c>
    </row>
    <row r="19" spans="3:31" ht="30" x14ac:dyDescent="0.25">
      <c r="C19" s="761"/>
      <c r="D19" s="778">
        <v>110</v>
      </c>
      <c r="E19" s="779"/>
      <c r="F19" s="778"/>
      <c r="G19" s="780" t="s">
        <v>106</v>
      </c>
    </row>
    <row r="20" spans="3:31" ht="15" customHeight="1" x14ac:dyDescent="0.25">
      <c r="E20" s="760">
        <v>1</v>
      </c>
      <c r="F20" s="782">
        <v>411</v>
      </c>
      <c r="G20" s="783" t="s">
        <v>4114</v>
      </c>
      <c r="H20" s="870">
        <v>2729699</v>
      </c>
      <c r="I20" s="763">
        <f>1856397.7+197633.97</f>
        <v>2054031.67</v>
      </c>
      <c r="J20" s="764">
        <f>I20/H20</f>
        <v>0.75247551836301363</v>
      </c>
      <c r="K20" s="763">
        <f>H20-I20</f>
        <v>675667.33000000007</v>
      </c>
      <c r="L20" s="765">
        <v>0</v>
      </c>
      <c r="M20" s="765">
        <v>0</v>
      </c>
      <c r="O20" s="765">
        <f>L20-M20</f>
        <v>0</v>
      </c>
      <c r="P20" s="765">
        <f>H20+L20</f>
        <v>2729699</v>
      </c>
      <c r="Q20" s="765">
        <f>I20+M20</f>
        <v>2054031.67</v>
      </c>
      <c r="R20" s="766">
        <f>Q20/P20</f>
        <v>0.75247551836301363</v>
      </c>
      <c r="S20" s="765">
        <f>P20-Q20</f>
        <v>675667.33000000007</v>
      </c>
      <c r="Z20" s="830">
        <f>H20-X20+Y20</f>
        <v>2729699</v>
      </c>
      <c r="AA20" s="831">
        <v>2620502.29</v>
      </c>
      <c r="AB20" s="203">
        <f>Z20-AA20</f>
        <v>109196.70999999996</v>
      </c>
      <c r="AE20" s="203">
        <f>H20-AA20</f>
        <v>109196.70999999996</v>
      </c>
    </row>
    <row r="21" spans="3:31" ht="14.25" customHeight="1" x14ac:dyDescent="0.25">
      <c r="E21" s="760">
        <v>2</v>
      </c>
      <c r="F21" s="782">
        <v>412</v>
      </c>
      <c r="G21" s="783" t="s">
        <v>3768</v>
      </c>
      <c r="H21" s="871">
        <v>468145</v>
      </c>
      <c r="I21" s="763">
        <f>332295.89+35376.49</f>
        <v>367672.38</v>
      </c>
      <c r="J21" s="764">
        <f t="shared" ref="J21:J53" si="0">I21/H21</f>
        <v>0.78538140960599812</v>
      </c>
      <c r="K21" s="763">
        <f t="shared" ref="K21:K54" si="1">H21-I21</f>
        <v>100472.62</v>
      </c>
      <c r="L21" s="765">
        <v>0</v>
      </c>
      <c r="M21" s="765">
        <v>0</v>
      </c>
      <c r="O21" s="765">
        <f t="shared" ref="O21:O54" si="2">L21-M21</f>
        <v>0</v>
      </c>
      <c r="P21" s="765">
        <f t="shared" ref="P21:P54" si="3">H21+L21</f>
        <v>468145</v>
      </c>
      <c r="Q21" s="765">
        <f t="shared" ref="Q21:Q54" si="4">I21+M21</f>
        <v>367672.38</v>
      </c>
      <c r="R21" s="766">
        <f t="shared" ref="R21:R53" si="5">Q21/P21</f>
        <v>0.78538140960599812</v>
      </c>
      <c r="S21" s="765">
        <f t="shared" ref="S21:S54" si="6">P21-Q21</f>
        <v>100472.62</v>
      </c>
      <c r="Z21" s="830">
        <f t="shared" ref="Z21:Z54" si="7">H21-X21+Y21</f>
        <v>468145</v>
      </c>
      <c r="AA21" s="831">
        <v>469069.92</v>
      </c>
      <c r="AB21" s="84">
        <f t="shared" ref="AB21:AB84" si="8">Z21-AA21</f>
        <v>-924.9199999999837</v>
      </c>
      <c r="AE21" s="84">
        <f t="shared" ref="AE21:AE54" si="9">H21-AA21</f>
        <v>-924.9199999999837</v>
      </c>
    </row>
    <row r="22" spans="3:31" ht="15" hidden="1" customHeight="1" x14ac:dyDescent="0.25">
      <c r="F22" s="782">
        <v>413</v>
      </c>
      <c r="G22" s="783" t="s">
        <v>4115</v>
      </c>
      <c r="H22" s="870">
        <v>0</v>
      </c>
      <c r="J22" s="764" t="e">
        <f t="shared" si="0"/>
        <v>#DIV/0!</v>
      </c>
      <c r="K22" s="763">
        <f t="shared" si="1"/>
        <v>0</v>
      </c>
      <c r="O22" s="765">
        <f t="shared" si="2"/>
        <v>0</v>
      </c>
      <c r="P22" s="765">
        <f t="shared" si="3"/>
        <v>0</v>
      </c>
      <c r="Q22" s="765">
        <f t="shared" si="4"/>
        <v>0</v>
      </c>
      <c r="R22" s="766" t="e">
        <f t="shared" si="5"/>
        <v>#DIV/0!</v>
      </c>
      <c r="S22" s="765">
        <f t="shared" si="6"/>
        <v>0</v>
      </c>
      <c r="V22" s="203">
        <f>I22/10*12</f>
        <v>0</v>
      </c>
      <c r="W22" s="203">
        <f>H22-V22</f>
        <v>0</v>
      </c>
      <c r="Z22" s="830">
        <f t="shared" si="7"/>
        <v>0</v>
      </c>
      <c r="AA22" s="831">
        <v>0</v>
      </c>
      <c r="AB22" s="84">
        <f t="shared" si="8"/>
        <v>0</v>
      </c>
      <c r="AE22" s="84">
        <f t="shared" si="9"/>
        <v>0</v>
      </c>
    </row>
    <row r="23" spans="3:31" ht="15" hidden="1" customHeight="1" x14ac:dyDescent="0.25">
      <c r="F23" s="782">
        <v>414</v>
      </c>
      <c r="G23" s="783" t="s">
        <v>3771</v>
      </c>
      <c r="H23" s="870">
        <v>0</v>
      </c>
      <c r="I23" s="763">
        <v>0</v>
      </c>
      <c r="J23" s="764" t="e">
        <f t="shared" si="0"/>
        <v>#DIV/0!</v>
      </c>
      <c r="K23" s="763">
        <f t="shared" si="1"/>
        <v>0</v>
      </c>
      <c r="L23" s="765">
        <v>0</v>
      </c>
      <c r="M23" s="765">
        <v>0</v>
      </c>
      <c r="O23" s="765">
        <f t="shared" si="2"/>
        <v>0</v>
      </c>
      <c r="P23" s="765">
        <f t="shared" si="3"/>
        <v>0</v>
      </c>
      <c r="Q23" s="765">
        <f t="shared" si="4"/>
        <v>0</v>
      </c>
      <c r="R23" s="766" t="e">
        <f t="shared" si="5"/>
        <v>#DIV/0!</v>
      </c>
      <c r="S23" s="765">
        <f t="shared" si="6"/>
        <v>0</v>
      </c>
      <c r="V23" s="203">
        <f>I23/10*12</f>
        <v>0</v>
      </c>
      <c r="W23" s="203">
        <f>H23-V23</f>
        <v>0</v>
      </c>
      <c r="Z23" s="830">
        <f t="shared" si="7"/>
        <v>0</v>
      </c>
      <c r="AA23" s="831">
        <v>0</v>
      </c>
      <c r="AB23" s="84">
        <f t="shared" si="8"/>
        <v>0</v>
      </c>
      <c r="AE23" s="84">
        <f t="shared" si="9"/>
        <v>0</v>
      </c>
    </row>
    <row r="24" spans="3:31" hidden="1" x14ac:dyDescent="0.25">
      <c r="F24" s="782">
        <v>415</v>
      </c>
      <c r="G24" s="783" t="s">
        <v>4124</v>
      </c>
      <c r="H24" s="870">
        <v>0</v>
      </c>
      <c r="I24" s="763">
        <v>0</v>
      </c>
      <c r="J24" s="764" t="e">
        <f t="shared" si="0"/>
        <v>#DIV/0!</v>
      </c>
      <c r="K24" s="763">
        <f t="shared" si="1"/>
        <v>0</v>
      </c>
      <c r="O24" s="765">
        <f t="shared" si="2"/>
        <v>0</v>
      </c>
      <c r="P24" s="765">
        <f t="shared" si="3"/>
        <v>0</v>
      </c>
      <c r="Q24" s="765">
        <f t="shared" si="4"/>
        <v>0</v>
      </c>
      <c r="R24" s="766" t="e">
        <f t="shared" si="5"/>
        <v>#DIV/0!</v>
      </c>
      <c r="S24" s="765">
        <f t="shared" si="6"/>
        <v>0</v>
      </c>
      <c r="V24" s="203">
        <f>I24/10*12</f>
        <v>0</v>
      </c>
      <c r="W24" s="203">
        <f>H24-V24</f>
        <v>0</v>
      </c>
      <c r="Z24" s="830">
        <f t="shared" si="7"/>
        <v>0</v>
      </c>
      <c r="AA24" s="831">
        <v>0</v>
      </c>
      <c r="AB24" s="84">
        <f t="shared" si="8"/>
        <v>0</v>
      </c>
      <c r="AE24" s="84">
        <f t="shared" si="9"/>
        <v>0</v>
      </c>
    </row>
    <row r="25" spans="3:31" x14ac:dyDescent="0.25">
      <c r="E25" s="760">
        <v>3</v>
      </c>
      <c r="F25" s="782">
        <v>415</v>
      </c>
      <c r="G25" s="783" t="s">
        <v>4124</v>
      </c>
      <c r="H25" s="870">
        <v>135000</v>
      </c>
      <c r="I25" s="763">
        <f>44317.42+5796</f>
        <v>50113.42</v>
      </c>
      <c r="J25" s="764">
        <f t="shared" si="0"/>
        <v>0.3712105185185185</v>
      </c>
      <c r="K25" s="763">
        <f t="shared" si="1"/>
        <v>84886.58</v>
      </c>
      <c r="L25" s="765">
        <v>0</v>
      </c>
      <c r="M25" s="765">
        <v>0</v>
      </c>
      <c r="O25" s="765">
        <f t="shared" si="2"/>
        <v>0</v>
      </c>
      <c r="P25" s="765">
        <f t="shared" si="3"/>
        <v>135000</v>
      </c>
      <c r="Q25" s="765">
        <f t="shared" si="4"/>
        <v>50113.42</v>
      </c>
      <c r="R25" s="766">
        <f t="shared" si="5"/>
        <v>0.3712105185185185</v>
      </c>
      <c r="S25" s="765">
        <f t="shared" si="6"/>
        <v>84886.58</v>
      </c>
      <c r="Y25" s="834">
        <v>21000</v>
      </c>
      <c r="Z25" s="830">
        <f t="shared" si="7"/>
        <v>156000</v>
      </c>
      <c r="AA25" s="831">
        <v>65545.820000000007</v>
      </c>
      <c r="AB25" s="203">
        <f>Z25-AA25</f>
        <v>90454.18</v>
      </c>
      <c r="AE25" s="84">
        <f t="shared" si="9"/>
        <v>69454.179999999993</v>
      </c>
    </row>
    <row r="26" spans="3:31" x14ac:dyDescent="0.25">
      <c r="E26" s="760">
        <v>4</v>
      </c>
      <c r="F26" s="782">
        <v>421</v>
      </c>
      <c r="G26" s="783" t="s">
        <v>3781</v>
      </c>
      <c r="H26" s="870">
        <v>364997</v>
      </c>
      <c r="I26" s="763">
        <v>760</v>
      </c>
      <c r="J26" s="764">
        <f t="shared" si="0"/>
        <v>2.0822088948676291E-3</v>
      </c>
      <c r="K26" s="763">
        <f t="shared" si="1"/>
        <v>364237</v>
      </c>
      <c r="L26" s="765">
        <v>0</v>
      </c>
      <c r="M26" s="765">
        <v>0</v>
      </c>
      <c r="O26" s="765">
        <f t="shared" si="2"/>
        <v>0</v>
      </c>
      <c r="P26" s="765">
        <f t="shared" si="3"/>
        <v>364997</v>
      </c>
      <c r="Q26" s="765">
        <f t="shared" si="4"/>
        <v>760</v>
      </c>
      <c r="R26" s="766">
        <f t="shared" si="5"/>
        <v>2.0822088948676291E-3</v>
      </c>
      <c r="S26" s="765">
        <f t="shared" si="6"/>
        <v>364237</v>
      </c>
      <c r="Z26" s="830">
        <f t="shared" si="7"/>
        <v>364997</v>
      </c>
      <c r="AA26" s="831">
        <v>1510</v>
      </c>
      <c r="AB26" s="203">
        <f>Z26-AA26</f>
        <v>363487</v>
      </c>
      <c r="AE26" s="84">
        <f t="shared" si="9"/>
        <v>363487</v>
      </c>
    </row>
    <row r="27" spans="3:31" hidden="1" x14ac:dyDescent="0.25">
      <c r="F27" s="782">
        <v>418</v>
      </c>
      <c r="G27" s="783" t="s">
        <v>3777</v>
      </c>
      <c r="H27" s="870">
        <v>0</v>
      </c>
      <c r="J27" s="764" t="e">
        <f t="shared" si="0"/>
        <v>#DIV/0!</v>
      </c>
      <c r="K27" s="763">
        <f t="shared" si="1"/>
        <v>0</v>
      </c>
      <c r="O27" s="765">
        <f t="shared" si="2"/>
        <v>0</v>
      </c>
      <c r="P27" s="765">
        <f t="shared" si="3"/>
        <v>0</v>
      </c>
      <c r="Q27" s="765">
        <f t="shared" si="4"/>
        <v>0</v>
      </c>
      <c r="R27" s="766" t="e">
        <f t="shared" si="5"/>
        <v>#DIV/0!</v>
      </c>
      <c r="S27" s="765">
        <f t="shared" si="6"/>
        <v>0</v>
      </c>
      <c r="Z27" s="830">
        <f t="shared" si="7"/>
        <v>0</v>
      </c>
      <c r="AA27" s="831">
        <v>0</v>
      </c>
      <c r="AB27" s="84">
        <f t="shared" si="8"/>
        <v>0</v>
      </c>
      <c r="AE27" s="84">
        <f t="shared" si="9"/>
        <v>0</v>
      </c>
    </row>
    <row r="28" spans="3:31" hidden="1" x14ac:dyDescent="0.25">
      <c r="F28" s="782">
        <v>421</v>
      </c>
      <c r="G28" s="783" t="s">
        <v>3781</v>
      </c>
      <c r="H28" s="870">
        <v>0</v>
      </c>
      <c r="I28" s="763">
        <v>0</v>
      </c>
      <c r="J28" s="764" t="e">
        <f t="shared" si="0"/>
        <v>#DIV/0!</v>
      </c>
      <c r="K28" s="763">
        <f t="shared" si="1"/>
        <v>0</v>
      </c>
      <c r="O28" s="765">
        <f t="shared" si="2"/>
        <v>0</v>
      </c>
      <c r="P28" s="765">
        <f t="shared" si="3"/>
        <v>0</v>
      </c>
      <c r="Q28" s="765">
        <f t="shared" si="4"/>
        <v>0</v>
      </c>
      <c r="R28" s="766" t="e">
        <f t="shared" si="5"/>
        <v>#DIV/0!</v>
      </c>
      <c r="S28" s="765">
        <f t="shared" si="6"/>
        <v>0</v>
      </c>
      <c r="Z28" s="830">
        <f t="shared" si="7"/>
        <v>0</v>
      </c>
      <c r="AA28" s="831">
        <v>0</v>
      </c>
      <c r="AB28" s="84">
        <f t="shared" si="8"/>
        <v>0</v>
      </c>
      <c r="AE28" s="84">
        <f t="shared" si="9"/>
        <v>0</v>
      </c>
    </row>
    <row r="29" spans="3:31" x14ac:dyDescent="0.25">
      <c r="E29" s="760">
        <v>5</v>
      </c>
      <c r="F29" s="782">
        <v>422</v>
      </c>
      <c r="G29" s="783" t="s">
        <v>3782</v>
      </c>
      <c r="H29" s="870">
        <v>0</v>
      </c>
      <c r="I29" s="763">
        <v>0</v>
      </c>
      <c r="J29" s="764" t="e">
        <f t="shared" si="0"/>
        <v>#DIV/0!</v>
      </c>
      <c r="K29" s="763">
        <f t="shared" si="1"/>
        <v>0</v>
      </c>
      <c r="L29" s="765">
        <v>0</v>
      </c>
      <c r="M29" s="765">
        <v>0</v>
      </c>
      <c r="O29" s="765">
        <f t="shared" si="2"/>
        <v>0</v>
      </c>
      <c r="P29" s="765">
        <f t="shared" si="3"/>
        <v>0</v>
      </c>
      <c r="Q29" s="765">
        <f t="shared" si="4"/>
        <v>0</v>
      </c>
      <c r="R29" s="766" t="e">
        <f t="shared" si="5"/>
        <v>#DIV/0!</v>
      </c>
      <c r="S29" s="765">
        <f t="shared" si="6"/>
        <v>0</v>
      </c>
      <c r="Z29" s="830">
        <f t="shared" si="7"/>
        <v>0</v>
      </c>
      <c r="AA29" s="831">
        <v>22500</v>
      </c>
      <c r="AB29" s="84">
        <f t="shared" si="8"/>
        <v>-22500</v>
      </c>
      <c r="AE29" s="84">
        <f t="shared" si="9"/>
        <v>-22500</v>
      </c>
    </row>
    <row r="30" spans="3:31" x14ac:dyDescent="0.25">
      <c r="E30" s="760">
        <v>6</v>
      </c>
      <c r="F30" s="782">
        <v>423</v>
      </c>
      <c r="G30" s="783" t="s">
        <v>3783</v>
      </c>
      <c r="H30" s="872">
        <v>2725000</v>
      </c>
      <c r="I30" s="763">
        <f>1174205.57+49237.7</f>
        <v>1223443.27</v>
      </c>
      <c r="J30" s="764">
        <f t="shared" si="0"/>
        <v>0.44897000733944953</v>
      </c>
      <c r="K30" s="763">
        <f t="shared" si="1"/>
        <v>1501556.73</v>
      </c>
      <c r="L30" s="765">
        <v>0</v>
      </c>
      <c r="M30" s="765">
        <v>0</v>
      </c>
      <c r="O30" s="765">
        <f t="shared" si="2"/>
        <v>0</v>
      </c>
      <c r="P30" s="765">
        <f t="shared" si="3"/>
        <v>2725000</v>
      </c>
      <c r="Q30" s="765">
        <f t="shared" si="4"/>
        <v>1223443.27</v>
      </c>
      <c r="R30" s="766">
        <f t="shared" si="5"/>
        <v>0.44897000733944953</v>
      </c>
      <c r="S30" s="765">
        <f t="shared" si="6"/>
        <v>1501556.73</v>
      </c>
      <c r="T30" s="873"/>
      <c r="Z30" s="830">
        <f t="shared" si="7"/>
        <v>2725000</v>
      </c>
      <c r="AA30" s="831">
        <v>2467009.02</v>
      </c>
      <c r="AB30" s="84">
        <f t="shared" si="8"/>
        <v>257990.97999999998</v>
      </c>
      <c r="AE30" s="84">
        <f t="shared" si="9"/>
        <v>257990.97999999998</v>
      </c>
    </row>
    <row r="31" spans="3:31" x14ac:dyDescent="0.25">
      <c r="E31" s="760">
        <v>7</v>
      </c>
      <c r="F31" s="782">
        <v>426</v>
      </c>
      <c r="G31" s="783" t="s">
        <v>3789</v>
      </c>
      <c r="H31" s="872">
        <v>1139807</v>
      </c>
      <c r="I31" s="763">
        <v>57930</v>
      </c>
      <c r="J31" s="764">
        <f>I31/H31</f>
        <v>5.0824393954415091E-2</v>
      </c>
      <c r="K31" s="763">
        <f t="shared" si="1"/>
        <v>1081877</v>
      </c>
      <c r="L31" s="765">
        <v>0</v>
      </c>
      <c r="M31" s="765">
        <v>0</v>
      </c>
      <c r="O31" s="765">
        <f t="shared" si="2"/>
        <v>0</v>
      </c>
      <c r="P31" s="765">
        <f t="shared" si="3"/>
        <v>1139807</v>
      </c>
      <c r="Q31" s="765">
        <f t="shared" si="4"/>
        <v>57930</v>
      </c>
      <c r="R31" s="766">
        <f t="shared" si="5"/>
        <v>5.0824393954415091E-2</v>
      </c>
      <c r="S31" s="765">
        <f t="shared" si="6"/>
        <v>1081877</v>
      </c>
      <c r="X31" s="833">
        <v>200000</v>
      </c>
      <c r="Z31" s="830">
        <f t="shared" si="7"/>
        <v>939807</v>
      </c>
      <c r="AA31" s="831">
        <v>319332.73</v>
      </c>
      <c r="AB31" s="203">
        <f>Z31-AA31</f>
        <v>620474.27</v>
      </c>
      <c r="AE31" s="84">
        <f t="shared" si="9"/>
        <v>820474.27</v>
      </c>
    </row>
    <row r="32" spans="3:31" x14ac:dyDescent="0.25">
      <c r="E32" s="760">
        <v>8</v>
      </c>
      <c r="F32" s="782">
        <v>465</v>
      </c>
      <c r="G32" s="783" t="s">
        <v>4758</v>
      </c>
      <c r="H32" s="872">
        <v>333757</v>
      </c>
      <c r="I32" s="763">
        <f>235499.91+27861.47</f>
        <v>263361.38</v>
      </c>
      <c r="J32" s="764">
        <f t="shared" si="0"/>
        <v>0.78908121777221152</v>
      </c>
      <c r="K32" s="763">
        <f t="shared" si="1"/>
        <v>70395.62</v>
      </c>
      <c r="L32" s="765">
        <v>0</v>
      </c>
      <c r="M32" s="765">
        <v>0</v>
      </c>
      <c r="O32" s="765">
        <f t="shared" si="2"/>
        <v>0</v>
      </c>
      <c r="P32" s="765">
        <f t="shared" si="3"/>
        <v>333757</v>
      </c>
      <c r="Q32" s="765">
        <f t="shared" si="4"/>
        <v>263361.38</v>
      </c>
      <c r="R32" s="766">
        <f t="shared" si="5"/>
        <v>0.78908121777221152</v>
      </c>
      <c r="S32" s="765">
        <f t="shared" si="6"/>
        <v>70395.62</v>
      </c>
      <c r="Z32" s="830">
        <f t="shared" si="7"/>
        <v>333757</v>
      </c>
      <c r="AA32" s="831">
        <v>323700</v>
      </c>
      <c r="AB32" s="84">
        <f t="shared" si="8"/>
        <v>10057</v>
      </c>
      <c r="AE32" s="84">
        <f t="shared" si="9"/>
        <v>10057</v>
      </c>
    </row>
    <row r="33" spans="6:31" hidden="1" x14ac:dyDescent="0.25">
      <c r="F33" s="782">
        <v>431</v>
      </c>
      <c r="G33" s="783" t="s">
        <v>4128</v>
      </c>
      <c r="H33" s="872">
        <v>0</v>
      </c>
      <c r="J33" s="764" t="e">
        <f t="shared" si="0"/>
        <v>#DIV/0!</v>
      </c>
      <c r="K33" s="763">
        <f t="shared" si="1"/>
        <v>0</v>
      </c>
      <c r="O33" s="765">
        <f t="shared" si="2"/>
        <v>0</v>
      </c>
      <c r="P33" s="765">
        <f t="shared" si="3"/>
        <v>0</v>
      </c>
      <c r="Q33" s="765">
        <f t="shared" si="4"/>
        <v>0</v>
      </c>
      <c r="R33" s="766" t="e">
        <f t="shared" si="5"/>
        <v>#DIV/0!</v>
      </c>
      <c r="S33" s="765">
        <f t="shared" si="6"/>
        <v>0</v>
      </c>
      <c r="Z33" s="830">
        <f t="shared" si="7"/>
        <v>0</v>
      </c>
      <c r="AA33" s="831">
        <v>0</v>
      </c>
      <c r="AB33" s="84">
        <f t="shared" si="8"/>
        <v>0</v>
      </c>
      <c r="AE33" s="84">
        <f t="shared" si="9"/>
        <v>0</v>
      </c>
    </row>
    <row r="34" spans="6:31" hidden="1" x14ac:dyDescent="0.25">
      <c r="F34" s="782">
        <v>432</v>
      </c>
      <c r="G34" s="783" t="s">
        <v>4129</v>
      </c>
      <c r="H34" s="872">
        <v>0</v>
      </c>
      <c r="J34" s="764" t="e">
        <f t="shared" si="0"/>
        <v>#DIV/0!</v>
      </c>
      <c r="K34" s="763">
        <f t="shared" si="1"/>
        <v>0</v>
      </c>
      <c r="O34" s="765">
        <f t="shared" si="2"/>
        <v>0</v>
      </c>
      <c r="P34" s="765">
        <f t="shared" si="3"/>
        <v>0</v>
      </c>
      <c r="Q34" s="765">
        <f t="shared" si="4"/>
        <v>0</v>
      </c>
      <c r="R34" s="766" t="e">
        <f t="shared" si="5"/>
        <v>#DIV/0!</v>
      </c>
      <c r="S34" s="765">
        <f t="shared" si="6"/>
        <v>0</v>
      </c>
      <c r="Z34" s="830">
        <f t="shared" si="7"/>
        <v>0</v>
      </c>
      <c r="AA34" s="831">
        <v>0</v>
      </c>
      <c r="AB34" s="84">
        <f t="shared" si="8"/>
        <v>0</v>
      </c>
      <c r="AE34" s="84">
        <f t="shared" si="9"/>
        <v>0</v>
      </c>
    </row>
    <row r="35" spans="6:31" hidden="1" x14ac:dyDescent="0.25">
      <c r="F35" s="782">
        <v>433</v>
      </c>
      <c r="G35" s="783" t="s">
        <v>4130</v>
      </c>
      <c r="H35" s="872">
        <v>0</v>
      </c>
      <c r="J35" s="764" t="e">
        <f t="shared" si="0"/>
        <v>#DIV/0!</v>
      </c>
      <c r="K35" s="763">
        <f t="shared" si="1"/>
        <v>0</v>
      </c>
      <c r="O35" s="765">
        <f t="shared" si="2"/>
        <v>0</v>
      </c>
      <c r="P35" s="765">
        <f t="shared" si="3"/>
        <v>0</v>
      </c>
      <c r="Q35" s="765">
        <f t="shared" si="4"/>
        <v>0</v>
      </c>
      <c r="R35" s="766" t="e">
        <f t="shared" si="5"/>
        <v>#DIV/0!</v>
      </c>
      <c r="S35" s="765">
        <f t="shared" si="6"/>
        <v>0</v>
      </c>
      <c r="Z35" s="830">
        <f t="shared" si="7"/>
        <v>0</v>
      </c>
      <c r="AA35" s="831">
        <v>0</v>
      </c>
      <c r="AB35" s="84">
        <f t="shared" si="8"/>
        <v>0</v>
      </c>
      <c r="AE35" s="84">
        <f t="shared" si="9"/>
        <v>0</v>
      </c>
    </row>
    <row r="36" spans="6:31" hidden="1" x14ac:dyDescent="0.25">
      <c r="F36" s="782">
        <v>434</v>
      </c>
      <c r="G36" s="783" t="s">
        <v>4131</v>
      </c>
      <c r="H36" s="872">
        <v>0</v>
      </c>
      <c r="J36" s="764" t="e">
        <f t="shared" si="0"/>
        <v>#DIV/0!</v>
      </c>
      <c r="K36" s="763">
        <f t="shared" si="1"/>
        <v>0</v>
      </c>
      <c r="O36" s="765">
        <f t="shared" si="2"/>
        <v>0</v>
      </c>
      <c r="P36" s="765">
        <f t="shared" si="3"/>
        <v>0</v>
      </c>
      <c r="Q36" s="765">
        <f t="shared" si="4"/>
        <v>0</v>
      </c>
      <c r="R36" s="766" t="e">
        <f t="shared" si="5"/>
        <v>#DIV/0!</v>
      </c>
      <c r="S36" s="765">
        <f t="shared" si="6"/>
        <v>0</v>
      </c>
      <c r="Z36" s="830">
        <f t="shared" si="7"/>
        <v>0</v>
      </c>
      <c r="AA36" s="831">
        <v>0</v>
      </c>
      <c r="AB36" s="84">
        <f t="shared" si="8"/>
        <v>0</v>
      </c>
      <c r="AE36" s="84">
        <f t="shared" si="9"/>
        <v>0</v>
      </c>
    </row>
    <row r="37" spans="6:31" hidden="1" x14ac:dyDescent="0.25">
      <c r="F37" s="782">
        <v>435</v>
      </c>
      <c r="G37" s="783" t="s">
        <v>3796</v>
      </c>
      <c r="H37" s="872">
        <v>0</v>
      </c>
      <c r="J37" s="764" t="e">
        <f t="shared" si="0"/>
        <v>#DIV/0!</v>
      </c>
      <c r="K37" s="763">
        <f t="shared" si="1"/>
        <v>0</v>
      </c>
      <c r="O37" s="765">
        <f t="shared" si="2"/>
        <v>0</v>
      </c>
      <c r="P37" s="765">
        <f t="shared" si="3"/>
        <v>0</v>
      </c>
      <c r="Q37" s="765">
        <f t="shared" si="4"/>
        <v>0</v>
      </c>
      <c r="R37" s="766" t="e">
        <f t="shared" si="5"/>
        <v>#DIV/0!</v>
      </c>
      <c r="S37" s="765">
        <f t="shared" si="6"/>
        <v>0</v>
      </c>
      <c r="Z37" s="830">
        <f t="shared" si="7"/>
        <v>0</v>
      </c>
      <c r="AA37" s="831">
        <v>0</v>
      </c>
      <c r="AB37" s="84">
        <f t="shared" si="8"/>
        <v>0</v>
      </c>
      <c r="AE37" s="84">
        <f t="shared" si="9"/>
        <v>0</v>
      </c>
    </row>
    <row r="38" spans="6:31" hidden="1" x14ac:dyDescent="0.25">
      <c r="F38" s="782">
        <v>441</v>
      </c>
      <c r="G38" s="783" t="s">
        <v>4132</v>
      </c>
      <c r="H38" s="872">
        <v>0</v>
      </c>
      <c r="J38" s="764" t="e">
        <f t="shared" si="0"/>
        <v>#DIV/0!</v>
      </c>
      <c r="K38" s="763">
        <f t="shared" si="1"/>
        <v>0</v>
      </c>
      <c r="O38" s="765">
        <f t="shared" si="2"/>
        <v>0</v>
      </c>
      <c r="P38" s="765">
        <f t="shared" si="3"/>
        <v>0</v>
      </c>
      <c r="Q38" s="765">
        <f t="shared" si="4"/>
        <v>0</v>
      </c>
      <c r="R38" s="766" t="e">
        <f t="shared" si="5"/>
        <v>#DIV/0!</v>
      </c>
      <c r="S38" s="765">
        <f t="shared" si="6"/>
        <v>0</v>
      </c>
      <c r="Z38" s="830">
        <f t="shared" si="7"/>
        <v>0</v>
      </c>
      <c r="AA38" s="831">
        <v>0</v>
      </c>
      <c r="AB38" s="84">
        <f t="shared" si="8"/>
        <v>0</v>
      </c>
      <c r="AE38" s="84">
        <f t="shared" si="9"/>
        <v>0</v>
      </c>
    </row>
    <row r="39" spans="6:31" hidden="1" x14ac:dyDescent="0.25">
      <c r="F39" s="782">
        <v>442</v>
      </c>
      <c r="G39" s="783" t="s">
        <v>4133</v>
      </c>
      <c r="H39" s="872">
        <v>0</v>
      </c>
      <c r="J39" s="764" t="e">
        <f t="shared" si="0"/>
        <v>#DIV/0!</v>
      </c>
      <c r="K39" s="763">
        <f t="shared" si="1"/>
        <v>0</v>
      </c>
      <c r="O39" s="765">
        <f t="shared" si="2"/>
        <v>0</v>
      </c>
      <c r="P39" s="765">
        <f t="shared" si="3"/>
        <v>0</v>
      </c>
      <c r="Q39" s="765">
        <f t="shared" si="4"/>
        <v>0</v>
      </c>
      <c r="R39" s="766" t="e">
        <f t="shared" si="5"/>
        <v>#DIV/0!</v>
      </c>
      <c r="S39" s="765">
        <f t="shared" si="6"/>
        <v>0</v>
      </c>
      <c r="Z39" s="830">
        <f t="shared" si="7"/>
        <v>0</v>
      </c>
      <c r="AA39" s="831">
        <v>0</v>
      </c>
      <c r="AB39" s="84">
        <f t="shared" si="8"/>
        <v>0</v>
      </c>
      <c r="AE39" s="84">
        <f t="shared" si="9"/>
        <v>0</v>
      </c>
    </row>
    <row r="40" spans="6:31" hidden="1" x14ac:dyDescent="0.25">
      <c r="F40" s="782">
        <v>443</v>
      </c>
      <c r="G40" s="783" t="s">
        <v>3801</v>
      </c>
      <c r="H40" s="872">
        <v>0</v>
      </c>
      <c r="J40" s="764" t="e">
        <f t="shared" si="0"/>
        <v>#DIV/0!</v>
      </c>
      <c r="K40" s="763">
        <f t="shared" si="1"/>
        <v>0</v>
      </c>
      <c r="O40" s="765">
        <f t="shared" si="2"/>
        <v>0</v>
      </c>
      <c r="P40" s="765">
        <f t="shared" si="3"/>
        <v>0</v>
      </c>
      <c r="Q40" s="765">
        <f t="shared" si="4"/>
        <v>0</v>
      </c>
      <c r="R40" s="766" t="e">
        <f t="shared" si="5"/>
        <v>#DIV/0!</v>
      </c>
      <c r="S40" s="765">
        <f t="shared" si="6"/>
        <v>0</v>
      </c>
      <c r="Z40" s="830">
        <f t="shared" si="7"/>
        <v>0</v>
      </c>
      <c r="AA40" s="831">
        <v>0</v>
      </c>
      <c r="AB40" s="84">
        <f t="shared" si="8"/>
        <v>0</v>
      </c>
      <c r="AE40" s="84">
        <f t="shared" si="9"/>
        <v>0</v>
      </c>
    </row>
    <row r="41" spans="6:31" hidden="1" x14ac:dyDescent="0.25">
      <c r="F41" s="782">
        <v>444</v>
      </c>
      <c r="G41" s="783" t="s">
        <v>3802</v>
      </c>
      <c r="H41" s="872">
        <v>0</v>
      </c>
      <c r="J41" s="764" t="e">
        <f t="shared" si="0"/>
        <v>#DIV/0!</v>
      </c>
      <c r="K41" s="763">
        <f t="shared" si="1"/>
        <v>0</v>
      </c>
      <c r="O41" s="765">
        <f t="shared" si="2"/>
        <v>0</v>
      </c>
      <c r="P41" s="765">
        <f t="shared" si="3"/>
        <v>0</v>
      </c>
      <c r="Q41" s="765">
        <f t="shared" si="4"/>
        <v>0</v>
      </c>
      <c r="R41" s="766" t="e">
        <f t="shared" si="5"/>
        <v>#DIV/0!</v>
      </c>
      <c r="S41" s="765">
        <f t="shared" si="6"/>
        <v>0</v>
      </c>
      <c r="Z41" s="830">
        <f t="shared" si="7"/>
        <v>0</v>
      </c>
      <c r="AA41" s="831">
        <v>0</v>
      </c>
      <c r="AB41" s="84">
        <f t="shared" si="8"/>
        <v>0</v>
      </c>
      <c r="AE41" s="84">
        <f t="shared" si="9"/>
        <v>0</v>
      </c>
    </row>
    <row r="42" spans="6:31" ht="30" hidden="1" x14ac:dyDescent="0.25">
      <c r="F42" s="782">
        <v>4511</v>
      </c>
      <c r="G42" s="874" t="s">
        <v>1691</v>
      </c>
      <c r="H42" s="872">
        <v>0</v>
      </c>
      <c r="J42" s="764" t="e">
        <f t="shared" si="0"/>
        <v>#DIV/0!</v>
      </c>
      <c r="K42" s="763">
        <f t="shared" si="1"/>
        <v>0</v>
      </c>
      <c r="O42" s="765">
        <f t="shared" si="2"/>
        <v>0</v>
      </c>
      <c r="P42" s="765">
        <f t="shared" si="3"/>
        <v>0</v>
      </c>
      <c r="Q42" s="765">
        <f t="shared" si="4"/>
        <v>0</v>
      </c>
      <c r="R42" s="766" t="e">
        <f t="shared" si="5"/>
        <v>#DIV/0!</v>
      </c>
      <c r="S42" s="765">
        <f t="shared" si="6"/>
        <v>0</v>
      </c>
      <c r="Z42" s="830">
        <f t="shared" si="7"/>
        <v>0</v>
      </c>
      <c r="AA42" s="831">
        <v>0</v>
      </c>
      <c r="AB42" s="84">
        <f t="shared" si="8"/>
        <v>0</v>
      </c>
      <c r="AE42" s="84">
        <f t="shared" si="9"/>
        <v>0</v>
      </c>
    </row>
    <row r="43" spans="6:31" ht="19.5" hidden="1" customHeight="1" x14ac:dyDescent="0.25">
      <c r="F43" s="782">
        <v>4512</v>
      </c>
      <c r="G43" s="874" t="s">
        <v>1700</v>
      </c>
      <c r="H43" s="872">
        <v>0</v>
      </c>
      <c r="J43" s="764" t="e">
        <f t="shared" si="0"/>
        <v>#DIV/0!</v>
      </c>
      <c r="K43" s="763">
        <f t="shared" si="1"/>
        <v>0</v>
      </c>
      <c r="O43" s="765">
        <f t="shared" si="2"/>
        <v>0</v>
      </c>
      <c r="P43" s="765">
        <f t="shared" si="3"/>
        <v>0</v>
      </c>
      <c r="Q43" s="765">
        <f t="shared" si="4"/>
        <v>0</v>
      </c>
      <c r="R43" s="766" t="e">
        <f t="shared" si="5"/>
        <v>#DIV/0!</v>
      </c>
      <c r="S43" s="765">
        <f t="shared" si="6"/>
        <v>0</v>
      </c>
      <c r="Z43" s="830">
        <f t="shared" si="7"/>
        <v>0</v>
      </c>
      <c r="AA43" s="831">
        <v>0</v>
      </c>
      <c r="AB43" s="84">
        <f t="shared" si="8"/>
        <v>0</v>
      </c>
      <c r="AE43" s="84">
        <f t="shared" si="9"/>
        <v>0</v>
      </c>
    </row>
    <row r="44" spans="6:31" ht="30" hidden="1" x14ac:dyDescent="0.25">
      <c r="F44" s="782">
        <v>452</v>
      </c>
      <c r="G44" s="783" t="s">
        <v>4134</v>
      </c>
      <c r="H44" s="872">
        <v>0</v>
      </c>
      <c r="J44" s="764" t="e">
        <f t="shared" si="0"/>
        <v>#DIV/0!</v>
      </c>
      <c r="K44" s="763">
        <f t="shared" si="1"/>
        <v>0</v>
      </c>
      <c r="O44" s="765">
        <f t="shared" si="2"/>
        <v>0</v>
      </c>
      <c r="P44" s="765">
        <f t="shared" si="3"/>
        <v>0</v>
      </c>
      <c r="Q44" s="765">
        <f t="shared" si="4"/>
        <v>0</v>
      </c>
      <c r="R44" s="766" t="e">
        <f t="shared" si="5"/>
        <v>#DIV/0!</v>
      </c>
      <c r="S44" s="765">
        <f t="shared" si="6"/>
        <v>0</v>
      </c>
      <c r="Z44" s="830">
        <f t="shared" si="7"/>
        <v>0</v>
      </c>
      <c r="AA44" s="831">
        <v>0</v>
      </c>
      <c r="AB44" s="84">
        <f t="shared" si="8"/>
        <v>0</v>
      </c>
      <c r="AE44" s="84">
        <f t="shared" si="9"/>
        <v>0</v>
      </c>
    </row>
    <row r="45" spans="6:31" hidden="1" x14ac:dyDescent="0.25">
      <c r="F45" s="782">
        <v>453</v>
      </c>
      <c r="G45" s="783" t="s">
        <v>4135</v>
      </c>
      <c r="H45" s="872">
        <v>0</v>
      </c>
      <c r="J45" s="764" t="e">
        <f t="shared" si="0"/>
        <v>#DIV/0!</v>
      </c>
      <c r="K45" s="763">
        <f t="shared" si="1"/>
        <v>0</v>
      </c>
      <c r="O45" s="765">
        <f t="shared" si="2"/>
        <v>0</v>
      </c>
      <c r="P45" s="765">
        <f t="shared" si="3"/>
        <v>0</v>
      </c>
      <c r="Q45" s="765">
        <f t="shared" si="4"/>
        <v>0</v>
      </c>
      <c r="R45" s="766" t="e">
        <f t="shared" si="5"/>
        <v>#DIV/0!</v>
      </c>
      <c r="S45" s="765">
        <f t="shared" si="6"/>
        <v>0</v>
      </c>
      <c r="Z45" s="830">
        <f t="shared" si="7"/>
        <v>0</v>
      </c>
      <c r="AA45" s="831">
        <v>0</v>
      </c>
      <c r="AB45" s="84">
        <f t="shared" si="8"/>
        <v>0</v>
      </c>
      <c r="AE45" s="84">
        <f t="shared" si="9"/>
        <v>0</v>
      </c>
    </row>
    <row r="46" spans="6:31" hidden="1" x14ac:dyDescent="0.25">
      <c r="F46" s="782">
        <v>454</v>
      </c>
      <c r="G46" s="783" t="s">
        <v>3807</v>
      </c>
      <c r="H46" s="872">
        <v>0</v>
      </c>
      <c r="J46" s="764" t="e">
        <f t="shared" si="0"/>
        <v>#DIV/0!</v>
      </c>
      <c r="K46" s="763">
        <f t="shared" si="1"/>
        <v>0</v>
      </c>
      <c r="O46" s="765">
        <f t="shared" si="2"/>
        <v>0</v>
      </c>
      <c r="P46" s="765">
        <f t="shared" si="3"/>
        <v>0</v>
      </c>
      <c r="Q46" s="765">
        <f t="shared" si="4"/>
        <v>0</v>
      </c>
      <c r="R46" s="766" t="e">
        <f t="shared" si="5"/>
        <v>#DIV/0!</v>
      </c>
      <c r="S46" s="765">
        <f t="shared" si="6"/>
        <v>0</v>
      </c>
      <c r="Z46" s="830">
        <f t="shared" si="7"/>
        <v>0</v>
      </c>
      <c r="AA46" s="831">
        <v>0</v>
      </c>
      <c r="AB46" s="84">
        <f t="shared" si="8"/>
        <v>0</v>
      </c>
      <c r="AE46" s="84">
        <f t="shared" si="9"/>
        <v>0</v>
      </c>
    </row>
    <row r="47" spans="6:31" hidden="1" x14ac:dyDescent="0.25">
      <c r="F47" s="782">
        <v>461</v>
      </c>
      <c r="G47" s="783" t="s">
        <v>4116</v>
      </c>
      <c r="H47" s="872">
        <v>0</v>
      </c>
      <c r="J47" s="764" t="e">
        <f t="shared" si="0"/>
        <v>#DIV/0!</v>
      </c>
      <c r="K47" s="763">
        <f t="shared" si="1"/>
        <v>0</v>
      </c>
      <c r="O47" s="765">
        <f t="shared" si="2"/>
        <v>0</v>
      </c>
      <c r="P47" s="765">
        <f t="shared" si="3"/>
        <v>0</v>
      </c>
      <c r="Q47" s="765">
        <f t="shared" si="4"/>
        <v>0</v>
      </c>
      <c r="R47" s="766" t="e">
        <f t="shared" si="5"/>
        <v>#DIV/0!</v>
      </c>
      <c r="S47" s="765">
        <f t="shared" si="6"/>
        <v>0</v>
      </c>
      <c r="Z47" s="830">
        <f t="shared" si="7"/>
        <v>0</v>
      </c>
      <c r="AA47" s="831">
        <v>0</v>
      </c>
      <c r="AB47" s="84">
        <f t="shared" si="8"/>
        <v>0</v>
      </c>
      <c r="AE47" s="84">
        <f t="shared" si="9"/>
        <v>0</v>
      </c>
    </row>
    <row r="48" spans="6:31" ht="30" hidden="1" x14ac:dyDescent="0.25">
      <c r="F48" s="782">
        <v>462</v>
      </c>
      <c r="G48" s="783" t="s">
        <v>3810</v>
      </c>
      <c r="H48" s="872">
        <v>0</v>
      </c>
      <c r="J48" s="764" t="e">
        <f t="shared" si="0"/>
        <v>#DIV/0!</v>
      </c>
      <c r="K48" s="763">
        <f t="shared" si="1"/>
        <v>0</v>
      </c>
      <c r="O48" s="765">
        <f t="shared" si="2"/>
        <v>0</v>
      </c>
      <c r="P48" s="765">
        <f t="shared" si="3"/>
        <v>0</v>
      </c>
      <c r="Q48" s="765">
        <f t="shared" si="4"/>
        <v>0</v>
      </c>
      <c r="R48" s="766" t="e">
        <f t="shared" si="5"/>
        <v>#DIV/0!</v>
      </c>
      <c r="S48" s="765">
        <f t="shared" si="6"/>
        <v>0</v>
      </c>
      <c r="Z48" s="830">
        <f t="shared" si="7"/>
        <v>0</v>
      </c>
      <c r="AA48" s="831">
        <v>0</v>
      </c>
      <c r="AB48" s="84">
        <f t="shared" si="8"/>
        <v>0</v>
      </c>
      <c r="AE48" s="84">
        <f t="shared" si="9"/>
        <v>0</v>
      </c>
    </row>
    <row r="49" spans="5:31" hidden="1" x14ac:dyDescent="0.25">
      <c r="F49" s="782">
        <v>4631</v>
      </c>
      <c r="G49" s="783" t="s">
        <v>3811</v>
      </c>
      <c r="H49" s="872">
        <v>0</v>
      </c>
      <c r="J49" s="764" t="e">
        <f t="shared" si="0"/>
        <v>#DIV/0!</v>
      </c>
      <c r="K49" s="763">
        <f t="shared" si="1"/>
        <v>0</v>
      </c>
      <c r="O49" s="765">
        <f t="shared" si="2"/>
        <v>0</v>
      </c>
      <c r="P49" s="765">
        <f t="shared" si="3"/>
        <v>0</v>
      </c>
      <c r="Q49" s="765">
        <f t="shared" si="4"/>
        <v>0</v>
      </c>
      <c r="R49" s="766" t="e">
        <f t="shared" si="5"/>
        <v>#DIV/0!</v>
      </c>
      <c r="S49" s="765">
        <f t="shared" si="6"/>
        <v>0</v>
      </c>
      <c r="Z49" s="830">
        <f t="shared" si="7"/>
        <v>0</v>
      </c>
      <c r="AA49" s="831">
        <v>0</v>
      </c>
      <c r="AB49" s="84">
        <f t="shared" si="8"/>
        <v>0</v>
      </c>
      <c r="AE49" s="84">
        <f t="shared" si="9"/>
        <v>0</v>
      </c>
    </row>
    <row r="50" spans="5:31" hidden="1" x14ac:dyDescent="0.25">
      <c r="F50" s="782">
        <v>4632</v>
      </c>
      <c r="G50" s="783" t="s">
        <v>3812</v>
      </c>
      <c r="H50" s="872">
        <v>0</v>
      </c>
      <c r="J50" s="764" t="e">
        <f t="shared" si="0"/>
        <v>#DIV/0!</v>
      </c>
      <c r="K50" s="763">
        <f t="shared" si="1"/>
        <v>0</v>
      </c>
      <c r="O50" s="765">
        <f t="shared" si="2"/>
        <v>0</v>
      </c>
      <c r="P50" s="765">
        <f t="shared" si="3"/>
        <v>0</v>
      </c>
      <c r="Q50" s="765">
        <f t="shared" si="4"/>
        <v>0</v>
      </c>
      <c r="R50" s="766" t="e">
        <f t="shared" si="5"/>
        <v>#DIV/0!</v>
      </c>
      <c r="S50" s="765">
        <f t="shared" si="6"/>
        <v>0</v>
      </c>
      <c r="Z50" s="830">
        <f t="shared" si="7"/>
        <v>0</v>
      </c>
      <c r="AA50" s="831">
        <v>0</v>
      </c>
      <c r="AB50" s="84">
        <f t="shared" si="8"/>
        <v>0</v>
      </c>
      <c r="AE50" s="84">
        <f t="shared" si="9"/>
        <v>0</v>
      </c>
    </row>
    <row r="51" spans="5:31" ht="30" hidden="1" x14ac:dyDescent="0.25">
      <c r="F51" s="782">
        <v>464</v>
      </c>
      <c r="G51" s="783" t="s">
        <v>3813</v>
      </c>
      <c r="H51" s="872">
        <v>0</v>
      </c>
      <c r="J51" s="764" t="e">
        <f t="shared" si="0"/>
        <v>#DIV/0!</v>
      </c>
      <c r="K51" s="763">
        <f t="shared" si="1"/>
        <v>0</v>
      </c>
      <c r="O51" s="765">
        <f t="shared" si="2"/>
        <v>0</v>
      </c>
      <c r="P51" s="765">
        <f t="shared" si="3"/>
        <v>0</v>
      </c>
      <c r="Q51" s="765">
        <f t="shared" si="4"/>
        <v>0</v>
      </c>
      <c r="R51" s="766" t="e">
        <f t="shared" si="5"/>
        <v>#DIV/0!</v>
      </c>
      <c r="S51" s="765">
        <f t="shared" si="6"/>
        <v>0</v>
      </c>
      <c r="Z51" s="830">
        <f t="shared" si="7"/>
        <v>0</v>
      </c>
      <c r="AA51" s="831">
        <v>0</v>
      </c>
      <c r="AB51" s="84">
        <f t="shared" si="8"/>
        <v>0</v>
      </c>
      <c r="AE51" s="84">
        <f t="shared" si="9"/>
        <v>0</v>
      </c>
    </row>
    <row r="52" spans="5:31" hidden="1" x14ac:dyDescent="0.25">
      <c r="F52" s="782">
        <v>465</v>
      </c>
      <c r="G52" s="783" t="s">
        <v>4117</v>
      </c>
      <c r="H52" s="872">
        <v>0</v>
      </c>
      <c r="J52" s="764" t="e">
        <f t="shared" si="0"/>
        <v>#DIV/0!</v>
      </c>
      <c r="K52" s="763">
        <f t="shared" si="1"/>
        <v>0</v>
      </c>
      <c r="O52" s="765">
        <f t="shared" si="2"/>
        <v>0</v>
      </c>
      <c r="P52" s="765">
        <f t="shared" si="3"/>
        <v>0</v>
      </c>
      <c r="Q52" s="765">
        <f t="shared" si="4"/>
        <v>0</v>
      </c>
      <c r="R52" s="766" t="e">
        <f t="shared" si="5"/>
        <v>#DIV/0!</v>
      </c>
      <c r="S52" s="765">
        <f t="shared" si="6"/>
        <v>0</v>
      </c>
      <c r="Z52" s="830">
        <f t="shared" si="7"/>
        <v>0</v>
      </c>
      <c r="AA52" s="831">
        <v>0</v>
      </c>
      <c r="AB52" s="84">
        <f t="shared" si="8"/>
        <v>0</v>
      </c>
      <c r="AE52" s="84">
        <f t="shared" si="9"/>
        <v>0</v>
      </c>
    </row>
    <row r="53" spans="5:31" ht="15.75" thickBot="1" x14ac:dyDescent="0.3">
      <c r="E53" s="875">
        <v>9</v>
      </c>
      <c r="F53" s="782">
        <v>481</v>
      </c>
      <c r="G53" s="783" t="s">
        <v>4136</v>
      </c>
      <c r="H53" s="872">
        <v>183628</v>
      </c>
      <c r="I53" s="763">
        <v>65823.72</v>
      </c>
      <c r="J53" s="764">
        <f t="shared" si="0"/>
        <v>0.35846232600692707</v>
      </c>
      <c r="K53" s="763">
        <f t="shared" si="1"/>
        <v>117804.28</v>
      </c>
      <c r="L53" s="765">
        <v>0</v>
      </c>
      <c r="M53" s="765">
        <v>0</v>
      </c>
      <c r="O53" s="765">
        <f t="shared" si="2"/>
        <v>0</v>
      </c>
      <c r="P53" s="765">
        <f t="shared" si="3"/>
        <v>183628</v>
      </c>
      <c r="Q53" s="765">
        <f t="shared" si="4"/>
        <v>65823.72</v>
      </c>
      <c r="R53" s="766">
        <f t="shared" si="5"/>
        <v>0.35846232600692707</v>
      </c>
      <c r="S53" s="765">
        <f t="shared" si="6"/>
        <v>117804.28</v>
      </c>
      <c r="Y53" s="834">
        <v>55404.98</v>
      </c>
      <c r="Z53" s="830">
        <f t="shared" si="7"/>
        <v>239032.98</v>
      </c>
      <c r="AA53" s="831">
        <v>244103.72</v>
      </c>
      <c r="AB53" s="84">
        <f t="shared" si="8"/>
        <v>-5070.7399999999907</v>
      </c>
      <c r="AE53" s="84">
        <f t="shared" si="9"/>
        <v>-60475.72</v>
      </c>
    </row>
    <row r="54" spans="5:31" ht="15.75" hidden="1" thickBot="1" x14ac:dyDescent="0.3">
      <c r="E54" s="875"/>
      <c r="F54" s="782">
        <v>482</v>
      </c>
      <c r="G54" s="783" t="s">
        <v>4137</v>
      </c>
      <c r="H54" s="872">
        <v>0</v>
      </c>
      <c r="I54" s="763">
        <v>0</v>
      </c>
      <c r="K54" s="763">
        <f t="shared" si="1"/>
        <v>0</v>
      </c>
      <c r="L54" s="765">
        <v>0</v>
      </c>
      <c r="M54" s="765">
        <v>0</v>
      </c>
      <c r="O54" s="765">
        <f t="shared" si="2"/>
        <v>0</v>
      </c>
      <c r="P54" s="765">
        <f t="shared" si="3"/>
        <v>0</v>
      </c>
      <c r="Q54" s="765">
        <f t="shared" si="4"/>
        <v>0</v>
      </c>
      <c r="S54" s="765">
        <f t="shared" si="6"/>
        <v>0</v>
      </c>
      <c r="Z54" s="830">
        <f t="shared" si="7"/>
        <v>0</v>
      </c>
      <c r="AA54" s="831">
        <v>0</v>
      </c>
      <c r="AB54" s="84">
        <f t="shared" si="8"/>
        <v>0</v>
      </c>
      <c r="AE54" s="84">
        <f t="shared" si="9"/>
        <v>0</v>
      </c>
    </row>
    <row r="55" spans="5:31" ht="15.75" hidden="1" thickBot="1" x14ac:dyDescent="0.3">
      <c r="F55" s="782">
        <v>482</v>
      </c>
      <c r="G55" s="783" t="s">
        <v>4137</v>
      </c>
      <c r="S55" s="765">
        <f t="shared" ref="S55:S78" si="10">SUM(H55:L55)</f>
        <v>0</v>
      </c>
      <c r="AB55" s="84">
        <f t="shared" si="8"/>
        <v>0</v>
      </c>
    </row>
    <row r="56" spans="5:31" ht="15.75" hidden="1" thickBot="1" x14ac:dyDescent="0.3">
      <c r="F56" s="782">
        <v>483</v>
      </c>
      <c r="G56" s="876" t="s">
        <v>4138</v>
      </c>
      <c r="S56" s="765">
        <f t="shared" si="10"/>
        <v>0</v>
      </c>
      <c r="AB56" s="84">
        <f t="shared" si="8"/>
        <v>0</v>
      </c>
    </row>
    <row r="57" spans="5:31" ht="45.75" hidden="1" thickBot="1" x14ac:dyDescent="0.3">
      <c r="F57" s="782">
        <v>484</v>
      </c>
      <c r="G57" s="783" t="s">
        <v>4139</v>
      </c>
      <c r="S57" s="765">
        <f t="shared" si="10"/>
        <v>0</v>
      </c>
      <c r="AB57" s="84">
        <f t="shared" si="8"/>
        <v>0</v>
      </c>
    </row>
    <row r="58" spans="5:31" ht="30.75" hidden="1" thickBot="1" x14ac:dyDescent="0.3">
      <c r="F58" s="782">
        <v>485</v>
      </c>
      <c r="G58" s="783" t="s">
        <v>4140</v>
      </c>
      <c r="S58" s="765">
        <f t="shared" si="10"/>
        <v>0</v>
      </c>
      <c r="AB58" s="84">
        <f t="shared" si="8"/>
        <v>0</v>
      </c>
    </row>
    <row r="59" spans="5:31" ht="30.75" hidden="1" thickBot="1" x14ac:dyDescent="0.3">
      <c r="F59" s="782">
        <v>489</v>
      </c>
      <c r="G59" s="783" t="s">
        <v>3825</v>
      </c>
      <c r="S59" s="765">
        <f t="shared" si="10"/>
        <v>0</v>
      </c>
      <c r="AB59" s="84">
        <f t="shared" si="8"/>
        <v>0</v>
      </c>
    </row>
    <row r="60" spans="5:31" ht="30.75" hidden="1" thickBot="1" x14ac:dyDescent="0.3">
      <c r="F60" s="782">
        <v>494</v>
      </c>
      <c r="G60" s="783" t="s">
        <v>4118</v>
      </c>
      <c r="S60" s="765">
        <f t="shared" si="10"/>
        <v>0</v>
      </c>
      <c r="AB60" s="84">
        <f t="shared" si="8"/>
        <v>0</v>
      </c>
    </row>
    <row r="61" spans="5:31" ht="30.75" hidden="1" thickBot="1" x14ac:dyDescent="0.3">
      <c r="F61" s="782">
        <v>495</v>
      </c>
      <c r="G61" s="783" t="s">
        <v>4119</v>
      </c>
      <c r="S61" s="765">
        <f t="shared" si="10"/>
        <v>0</v>
      </c>
      <c r="AB61" s="84">
        <f t="shared" si="8"/>
        <v>0</v>
      </c>
    </row>
    <row r="62" spans="5:31" ht="45.75" hidden="1" thickBot="1" x14ac:dyDescent="0.3">
      <c r="F62" s="782">
        <v>496</v>
      </c>
      <c r="G62" s="783" t="s">
        <v>4120</v>
      </c>
      <c r="S62" s="765">
        <f t="shared" si="10"/>
        <v>0</v>
      </c>
      <c r="AB62" s="84">
        <f t="shared" si="8"/>
        <v>0</v>
      </c>
    </row>
    <row r="63" spans="5:31" ht="30.75" hidden="1" thickBot="1" x14ac:dyDescent="0.3">
      <c r="F63" s="782">
        <v>499</v>
      </c>
      <c r="G63" s="783" t="s">
        <v>4121</v>
      </c>
      <c r="S63" s="765">
        <f t="shared" si="10"/>
        <v>0</v>
      </c>
      <c r="AB63" s="84">
        <f t="shared" si="8"/>
        <v>0</v>
      </c>
    </row>
    <row r="64" spans="5:31" ht="15.75" hidden="1" thickBot="1" x14ac:dyDescent="0.3">
      <c r="F64" s="782">
        <v>511</v>
      </c>
      <c r="G64" s="876" t="s">
        <v>4141</v>
      </c>
      <c r="S64" s="765">
        <f t="shared" si="10"/>
        <v>0</v>
      </c>
      <c r="AB64" s="84">
        <f t="shared" si="8"/>
        <v>0</v>
      </c>
    </row>
    <row r="65" spans="5:28" ht="15.75" hidden="1" thickBot="1" x14ac:dyDescent="0.3">
      <c r="F65" s="782">
        <v>512</v>
      </c>
      <c r="G65" s="876" t="s">
        <v>4142</v>
      </c>
      <c r="S65" s="765">
        <f t="shared" si="10"/>
        <v>0</v>
      </c>
      <c r="AB65" s="84">
        <f t="shared" si="8"/>
        <v>0</v>
      </c>
    </row>
    <row r="66" spans="5:28" ht="15.75" hidden="1" thickBot="1" x14ac:dyDescent="0.3">
      <c r="F66" s="782">
        <v>513</v>
      </c>
      <c r="G66" s="876" t="s">
        <v>4143</v>
      </c>
      <c r="S66" s="765">
        <f t="shared" si="10"/>
        <v>0</v>
      </c>
      <c r="AB66" s="84">
        <f t="shared" si="8"/>
        <v>0</v>
      </c>
    </row>
    <row r="67" spans="5:28" ht="15.75" hidden="1" thickBot="1" x14ac:dyDescent="0.3">
      <c r="F67" s="782">
        <v>514</v>
      </c>
      <c r="G67" s="783" t="s">
        <v>4144</v>
      </c>
      <c r="S67" s="765">
        <f t="shared" si="10"/>
        <v>0</v>
      </c>
      <c r="AB67" s="84">
        <f t="shared" si="8"/>
        <v>0</v>
      </c>
    </row>
    <row r="68" spans="5:28" ht="15.75" hidden="1" thickBot="1" x14ac:dyDescent="0.3">
      <c r="F68" s="782">
        <v>515</v>
      </c>
      <c r="G68" s="783" t="s">
        <v>3836</v>
      </c>
      <c r="S68" s="765">
        <f t="shared" si="10"/>
        <v>0</v>
      </c>
      <c r="AB68" s="84">
        <f t="shared" si="8"/>
        <v>0</v>
      </c>
    </row>
    <row r="69" spans="5:28" ht="15.75" hidden="1" thickBot="1" x14ac:dyDescent="0.3">
      <c r="F69" s="782">
        <v>521</v>
      </c>
      <c r="G69" s="783" t="s">
        <v>4145</v>
      </c>
      <c r="S69" s="765">
        <f t="shared" si="10"/>
        <v>0</v>
      </c>
      <c r="AB69" s="84">
        <f t="shared" si="8"/>
        <v>0</v>
      </c>
    </row>
    <row r="70" spans="5:28" ht="15.75" hidden="1" thickBot="1" x14ac:dyDescent="0.3">
      <c r="F70" s="782">
        <v>522</v>
      </c>
      <c r="G70" s="783" t="s">
        <v>4146</v>
      </c>
      <c r="S70" s="765">
        <f t="shared" si="10"/>
        <v>0</v>
      </c>
      <c r="AB70" s="84">
        <f t="shared" si="8"/>
        <v>0</v>
      </c>
    </row>
    <row r="71" spans="5:28" ht="15.75" hidden="1" thickBot="1" x14ac:dyDescent="0.3">
      <c r="F71" s="782">
        <v>523</v>
      </c>
      <c r="G71" s="783" t="s">
        <v>3841</v>
      </c>
      <c r="S71" s="765">
        <f t="shared" si="10"/>
        <v>0</v>
      </c>
      <c r="AB71" s="84">
        <f t="shared" si="8"/>
        <v>0</v>
      </c>
    </row>
    <row r="72" spans="5:28" ht="15.75" hidden="1" thickBot="1" x14ac:dyDescent="0.3">
      <c r="F72" s="782">
        <v>531</v>
      </c>
      <c r="G72" s="783" t="s">
        <v>4122</v>
      </c>
      <c r="S72" s="765">
        <f t="shared" si="10"/>
        <v>0</v>
      </c>
      <c r="AB72" s="84">
        <f t="shared" si="8"/>
        <v>0</v>
      </c>
    </row>
    <row r="73" spans="5:28" ht="15.75" hidden="1" thickBot="1" x14ac:dyDescent="0.3">
      <c r="F73" s="782">
        <v>541</v>
      </c>
      <c r="G73" s="783" t="s">
        <v>4147</v>
      </c>
      <c r="S73" s="765">
        <f t="shared" si="10"/>
        <v>0</v>
      </c>
      <c r="AB73" s="84">
        <f t="shared" si="8"/>
        <v>0</v>
      </c>
    </row>
    <row r="74" spans="5:28" ht="15.75" hidden="1" thickBot="1" x14ac:dyDescent="0.3">
      <c r="F74" s="782">
        <v>542</v>
      </c>
      <c r="G74" s="783" t="s">
        <v>4148</v>
      </c>
      <c r="S74" s="765">
        <f t="shared" si="10"/>
        <v>0</v>
      </c>
      <c r="AB74" s="84">
        <f t="shared" si="8"/>
        <v>0</v>
      </c>
    </row>
    <row r="75" spans="5:28" ht="15.75" hidden="1" thickBot="1" x14ac:dyDescent="0.3">
      <c r="F75" s="782">
        <v>543</v>
      </c>
      <c r="G75" s="783" t="s">
        <v>3846</v>
      </c>
      <c r="S75" s="765">
        <f t="shared" si="10"/>
        <v>0</v>
      </c>
      <c r="AB75" s="84">
        <f t="shared" si="8"/>
        <v>0</v>
      </c>
    </row>
    <row r="76" spans="5:28" ht="45.75" hidden="1" thickBot="1" x14ac:dyDescent="0.3">
      <c r="F76" s="782">
        <v>551</v>
      </c>
      <c r="G76" s="783" t="s">
        <v>4123</v>
      </c>
      <c r="S76" s="765">
        <f t="shared" si="10"/>
        <v>0</v>
      </c>
      <c r="AB76" s="84">
        <f t="shared" si="8"/>
        <v>0</v>
      </c>
    </row>
    <row r="77" spans="5:28" ht="15.75" hidden="1" thickBot="1" x14ac:dyDescent="0.3">
      <c r="F77" s="785">
        <v>611</v>
      </c>
      <c r="G77" s="876" t="s">
        <v>3852</v>
      </c>
      <c r="S77" s="765">
        <f t="shared" si="10"/>
        <v>0</v>
      </c>
      <c r="AB77" s="84">
        <f t="shared" si="8"/>
        <v>0</v>
      </c>
    </row>
    <row r="78" spans="5:28" ht="15.75" hidden="1" thickBot="1" x14ac:dyDescent="0.3">
      <c r="F78" s="785">
        <v>620</v>
      </c>
      <c r="G78" s="876" t="s">
        <v>89</v>
      </c>
      <c r="S78" s="765">
        <f t="shared" si="10"/>
        <v>0</v>
      </c>
      <c r="AB78" s="84">
        <f t="shared" si="8"/>
        <v>0</v>
      </c>
    </row>
    <row r="79" spans="5:28" x14ac:dyDescent="0.25">
      <c r="E79" s="784"/>
      <c r="F79" s="785"/>
      <c r="G79" s="786" t="s">
        <v>4187</v>
      </c>
      <c r="H79" s="787"/>
      <c r="I79" s="787"/>
      <c r="J79" s="788"/>
      <c r="K79" s="787"/>
      <c r="L79" s="789"/>
      <c r="M79" s="789"/>
      <c r="N79" s="790"/>
      <c r="O79" s="789"/>
      <c r="P79" s="789"/>
      <c r="Q79" s="789"/>
      <c r="R79" s="790"/>
      <c r="S79" s="877"/>
      <c r="AB79" s="84">
        <f t="shared" si="8"/>
        <v>0</v>
      </c>
    </row>
    <row r="80" spans="5:28" ht="17.25" customHeight="1" thickBot="1" x14ac:dyDescent="0.3">
      <c r="E80" s="791"/>
      <c r="F80" s="792" t="s">
        <v>235</v>
      </c>
      <c r="G80" s="793" t="s">
        <v>236</v>
      </c>
      <c r="H80" s="794">
        <f>SUM(H20:H54)</f>
        <v>8080033</v>
      </c>
      <c r="I80" s="794">
        <f>SUM(I20:I54)</f>
        <v>4083135.84</v>
      </c>
      <c r="J80" s="795">
        <f>I80/H80</f>
        <v>0.50533653018496338</v>
      </c>
      <c r="K80" s="794">
        <f>H80-I80</f>
        <v>3996897.16</v>
      </c>
      <c r="L80" s="796">
        <v>0</v>
      </c>
      <c r="M80" s="796">
        <v>0</v>
      </c>
      <c r="N80" s="797"/>
      <c r="O80" s="796">
        <f>L80-M80</f>
        <v>0</v>
      </c>
      <c r="P80" s="796">
        <f>SUM(P20:P54)</f>
        <v>8080033</v>
      </c>
      <c r="Q80" s="796">
        <f>SUM(Q20:Q54)</f>
        <v>4083135.84</v>
      </c>
      <c r="R80" s="797">
        <f>Q80/P80</f>
        <v>0.50533653018496338</v>
      </c>
      <c r="S80" s="796">
        <f>P80-Q80</f>
        <v>3996897.16</v>
      </c>
      <c r="AB80" s="84">
        <f t="shared" si="8"/>
        <v>0</v>
      </c>
    </row>
    <row r="81" spans="6:28" ht="15.75" hidden="1" thickBot="1" x14ac:dyDescent="0.3">
      <c r="F81" s="792" t="s">
        <v>237</v>
      </c>
      <c r="G81" s="793" t="s">
        <v>238</v>
      </c>
      <c r="S81" s="796">
        <f t="shared" ref="S81:S95" si="11">SUM(H81:L81)</f>
        <v>0</v>
      </c>
      <c r="AB81" s="84">
        <f t="shared" si="8"/>
        <v>0</v>
      </c>
    </row>
    <row r="82" spans="6:28" ht="15.75" hidden="1" thickBot="1" x14ac:dyDescent="0.3">
      <c r="F82" s="792" t="s">
        <v>239</v>
      </c>
      <c r="G82" s="793" t="s">
        <v>240</v>
      </c>
      <c r="S82" s="796">
        <f t="shared" si="11"/>
        <v>0</v>
      </c>
      <c r="AB82" s="84">
        <f t="shared" si="8"/>
        <v>0</v>
      </c>
    </row>
    <row r="83" spans="6:28" ht="15.75" hidden="1" thickBot="1" x14ac:dyDescent="0.3">
      <c r="F83" s="792" t="s">
        <v>241</v>
      </c>
      <c r="G83" s="793" t="s">
        <v>242</v>
      </c>
      <c r="S83" s="796">
        <f t="shared" si="11"/>
        <v>0</v>
      </c>
      <c r="AB83" s="84">
        <f t="shared" si="8"/>
        <v>0</v>
      </c>
    </row>
    <row r="84" spans="6:28" ht="15.75" hidden="1" thickBot="1" x14ac:dyDescent="0.3">
      <c r="F84" s="792" t="s">
        <v>243</v>
      </c>
      <c r="G84" s="793" t="s">
        <v>244</v>
      </c>
      <c r="S84" s="796">
        <f t="shared" si="11"/>
        <v>0</v>
      </c>
      <c r="AB84" s="84">
        <f t="shared" si="8"/>
        <v>0</v>
      </c>
    </row>
    <row r="85" spans="6:28" ht="15.75" hidden="1" thickBot="1" x14ac:dyDescent="0.3">
      <c r="F85" s="792" t="s">
        <v>245</v>
      </c>
      <c r="G85" s="793" t="s">
        <v>246</v>
      </c>
      <c r="S85" s="796">
        <f t="shared" si="11"/>
        <v>0</v>
      </c>
      <c r="AB85" s="84">
        <f t="shared" ref="AB85:AB115" si="12">Z85-AA85</f>
        <v>0</v>
      </c>
    </row>
    <row r="86" spans="6:28" ht="15.75" hidden="1" thickBot="1" x14ac:dyDescent="0.3">
      <c r="F86" s="792" t="s">
        <v>247</v>
      </c>
      <c r="G86" s="793" t="s">
        <v>4745</v>
      </c>
      <c r="S86" s="796">
        <f t="shared" si="11"/>
        <v>0</v>
      </c>
      <c r="AB86" s="84">
        <f t="shared" si="12"/>
        <v>0</v>
      </c>
    </row>
    <row r="87" spans="6:28" ht="30.75" hidden="1" thickBot="1" x14ac:dyDescent="0.3">
      <c r="F87" s="792" t="s">
        <v>248</v>
      </c>
      <c r="G87" s="793" t="s">
        <v>4744</v>
      </c>
      <c r="S87" s="796">
        <f t="shared" si="11"/>
        <v>0</v>
      </c>
      <c r="AB87" s="84">
        <f t="shared" si="12"/>
        <v>0</v>
      </c>
    </row>
    <row r="88" spans="6:28" ht="15.75" hidden="1" thickBot="1" x14ac:dyDescent="0.3">
      <c r="F88" s="792" t="s">
        <v>249</v>
      </c>
      <c r="G88" s="793" t="s">
        <v>58</v>
      </c>
      <c r="S88" s="796">
        <f t="shared" si="11"/>
        <v>0</v>
      </c>
      <c r="AB88" s="84">
        <f t="shared" si="12"/>
        <v>0</v>
      </c>
    </row>
    <row r="89" spans="6:28" ht="15.75" hidden="1" thickBot="1" x14ac:dyDescent="0.3">
      <c r="F89" s="792" t="s">
        <v>250</v>
      </c>
      <c r="G89" s="793" t="s">
        <v>251</v>
      </c>
      <c r="S89" s="796">
        <f t="shared" si="11"/>
        <v>0</v>
      </c>
      <c r="AB89" s="84">
        <f t="shared" si="12"/>
        <v>0</v>
      </c>
    </row>
    <row r="90" spans="6:28" ht="15.75" hidden="1" thickBot="1" x14ac:dyDescent="0.3">
      <c r="F90" s="792" t="s">
        <v>252</v>
      </c>
      <c r="G90" s="793" t="s">
        <v>253</v>
      </c>
      <c r="S90" s="796">
        <f t="shared" si="11"/>
        <v>0</v>
      </c>
      <c r="AB90" s="84">
        <f t="shared" si="12"/>
        <v>0</v>
      </c>
    </row>
    <row r="91" spans="6:28" ht="30.75" hidden="1" thickBot="1" x14ac:dyDescent="0.3">
      <c r="F91" s="792" t="s">
        <v>254</v>
      </c>
      <c r="G91" s="793" t="s">
        <v>255</v>
      </c>
      <c r="S91" s="796">
        <f t="shared" si="11"/>
        <v>0</v>
      </c>
      <c r="AB91" s="84">
        <f t="shared" si="12"/>
        <v>0</v>
      </c>
    </row>
    <row r="92" spans="6:28" ht="15.75" hidden="1" thickBot="1" x14ac:dyDescent="0.3">
      <c r="F92" s="792" t="s">
        <v>256</v>
      </c>
      <c r="G92" s="793" t="s">
        <v>257</v>
      </c>
      <c r="S92" s="796">
        <f t="shared" si="11"/>
        <v>0</v>
      </c>
      <c r="AB92" s="84">
        <f t="shared" si="12"/>
        <v>0</v>
      </c>
    </row>
    <row r="93" spans="6:28" ht="30.75" hidden="1" thickBot="1" x14ac:dyDescent="0.3">
      <c r="F93" s="792" t="s">
        <v>258</v>
      </c>
      <c r="G93" s="793" t="s">
        <v>259</v>
      </c>
      <c r="S93" s="796">
        <f t="shared" si="11"/>
        <v>0</v>
      </c>
      <c r="AB93" s="84">
        <f t="shared" si="12"/>
        <v>0</v>
      </c>
    </row>
    <row r="94" spans="6:28" ht="30.75" hidden="1" thickBot="1" x14ac:dyDescent="0.3">
      <c r="F94" s="792" t="s">
        <v>260</v>
      </c>
      <c r="G94" s="793" t="s">
        <v>261</v>
      </c>
      <c r="S94" s="796">
        <f t="shared" si="11"/>
        <v>0</v>
      </c>
      <c r="AB94" s="84">
        <f t="shared" si="12"/>
        <v>0</v>
      </c>
    </row>
    <row r="95" spans="6:28" ht="15.75" hidden="1" thickBot="1" x14ac:dyDescent="0.3">
      <c r="F95" s="792" t="s">
        <v>262</v>
      </c>
      <c r="G95" s="793" t="s">
        <v>263</v>
      </c>
      <c r="H95" s="794"/>
      <c r="I95" s="794"/>
      <c r="J95" s="795"/>
      <c r="K95" s="794"/>
      <c r="L95" s="796"/>
      <c r="M95" s="796"/>
      <c r="N95" s="797"/>
      <c r="O95" s="796"/>
      <c r="P95" s="796"/>
      <c r="Q95" s="796"/>
      <c r="R95" s="797"/>
      <c r="S95" s="796">
        <f t="shared" si="11"/>
        <v>0</v>
      </c>
      <c r="AB95" s="84">
        <f t="shared" si="12"/>
        <v>0</v>
      </c>
    </row>
    <row r="96" spans="6:28" ht="15.75" thickBot="1" x14ac:dyDescent="0.3">
      <c r="G96" s="798" t="s">
        <v>4173</v>
      </c>
      <c r="H96" s="799">
        <f>SUM(H80:H95)</f>
        <v>8080033</v>
      </c>
      <c r="I96" s="799">
        <f>SUM(I80:I95)</f>
        <v>4083135.84</v>
      </c>
      <c r="J96" s="800">
        <f>I96/H96</f>
        <v>0.50533653018496338</v>
      </c>
      <c r="K96" s="799">
        <f>SUM(K80:K95)</f>
        <v>3996897.16</v>
      </c>
      <c r="L96" s="801">
        <f>SUM(L81:L95)</f>
        <v>0</v>
      </c>
      <c r="M96" s="801">
        <f>SUM(M81:M95)</f>
        <v>0</v>
      </c>
      <c r="N96" s="802"/>
      <c r="O96" s="801">
        <f>SUM(O80:O95)</f>
        <v>0</v>
      </c>
      <c r="P96" s="801">
        <f>SUM(P80:P95)</f>
        <v>8080033</v>
      </c>
      <c r="Q96" s="801">
        <f>SUM(Q80:Q95)</f>
        <v>4083135.84</v>
      </c>
      <c r="R96" s="802">
        <f>Q96/P96</f>
        <v>0.50533653018496338</v>
      </c>
      <c r="S96" s="801">
        <f>SUM(S80:S95)</f>
        <v>3996897.16</v>
      </c>
      <c r="AB96" s="84">
        <f t="shared" si="12"/>
        <v>0</v>
      </c>
    </row>
    <row r="97" spans="5:28" ht="28.5" collapsed="1" x14ac:dyDescent="0.25">
      <c r="E97" s="784"/>
      <c r="F97" s="785"/>
      <c r="G97" s="803" t="s">
        <v>4905</v>
      </c>
      <c r="H97" s="804"/>
      <c r="I97" s="805"/>
      <c r="J97" s="806"/>
      <c r="K97" s="805"/>
      <c r="L97" s="807"/>
      <c r="M97" s="808"/>
      <c r="N97" s="809"/>
      <c r="O97" s="808"/>
      <c r="P97" s="808"/>
      <c r="Q97" s="808"/>
      <c r="R97" s="809"/>
      <c r="S97" s="878"/>
      <c r="AB97" s="84">
        <f t="shared" si="12"/>
        <v>0</v>
      </c>
    </row>
    <row r="98" spans="5:28" ht="15.75" thickBot="1" x14ac:dyDescent="0.3">
      <c r="E98" s="791"/>
      <c r="F98" s="792" t="s">
        <v>235</v>
      </c>
      <c r="G98" s="793" t="s">
        <v>236</v>
      </c>
      <c r="H98" s="794">
        <f>SUM(H20:H78)</f>
        <v>8080033</v>
      </c>
      <c r="I98" s="794">
        <f>SUM(I20:I78)</f>
        <v>4083135.84</v>
      </c>
      <c r="J98" s="795">
        <f t="shared" ref="J98:J114" si="13">I98/H98</f>
        <v>0.50533653018496338</v>
      </c>
      <c r="K98" s="794">
        <f>SUM(K20:K78)</f>
        <v>3996897.1599999997</v>
      </c>
      <c r="L98" s="796">
        <f>SUM(L20:L78)</f>
        <v>0</v>
      </c>
      <c r="M98" s="796">
        <f>SUM(M20:M78)</f>
        <v>0</v>
      </c>
      <c r="N98" s="797"/>
      <c r="O98" s="796">
        <f>SUM(O20:O78)</f>
        <v>0</v>
      </c>
      <c r="P98" s="796">
        <f>SUM(P20:P78)</f>
        <v>8080033</v>
      </c>
      <c r="Q98" s="796">
        <f>SUM(Q20:Q78)</f>
        <v>4083135.84</v>
      </c>
      <c r="R98" s="797">
        <f t="shared" ref="R98:R114" si="14">Q98/P98</f>
        <v>0.50533653018496338</v>
      </c>
      <c r="S98" s="796">
        <f>P98-Q98</f>
        <v>3996897.16</v>
      </c>
      <c r="AB98" s="84">
        <f t="shared" si="12"/>
        <v>0</v>
      </c>
    </row>
    <row r="99" spans="5:28" hidden="1" x14ac:dyDescent="0.25">
      <c r="F99" s="792" t="s">
        <v>237</v>
      </c>
      <c r="G99" s="793" t="s">
        <v>238</v>
      </c>
      <c r="J99" s="764" t="e">
        <f t="shared" si="13"/>
        <v>#DIV/0!</v>
      </c>
      <c r="R99" s="766" t="e">
        <f t="shared" si="14"/>
        <v>#DIV/0!</v>
      </c>
      <c r="S99" s="796" t="e">
        <f t="shared" ref="S99:S113" si="15">SUM(H99:L99)</f>
        <v>#DIV/0!</v>
      </c>
      <c r="AB99" s="84">
        <f t="shared" si="12"/>
        <v>0</v>
      </c>
    </row>
    <row r="100" spans="5:28" hidden="1" x14ac:dyDescent="0.25">
      <c r="F100" s="792" t="s">
        <v>239</v>
      </c>
      <c r="G100" s="793" t="s">
        <v>240</v>
      </c>
      <c r="J100" s="764" t="e">
        <f t="shared" si="13"/>
        <v>#DIV/0!</v>
      </c>
      <c r="R100" s="766" t="e">
        <f t="shared" si="14"/>
        <v>#DIV/0!</v>
      </c>
      <c r="S100" s="796" t="e">
        <f t="shared" si="15"/>
        <v>#DIV/0!</v>
      </c>
      <c r="AB100" s="84">
        <f t="shared" si="12"/>
        <v>0</v>
      </c>
    </row>
    <row r="101" spans="5:28" hidden="1" x14ac:dyDescent="0.25">
      <c r="F101" s="792" t="s">
        <v>241</v>
      </c>
      <c r="G101" s="793" t="s">
        <v>242</v>
      </c>
      <c r="J101" s="764" t="e">
        <f t="shared" si="13"/>
        <v>#DIV/0!</v>
      </c>
      <c r="R101" s="766" t="e">
        <f t="shared" si="14"/>
        <v>#DIV/0!</v>
      </c>
      <c r="S101" s="796" t="e">
        <f t="shared" si="15"/>
        <v>#DIV/0!</v>
      </c>
      <c r="AB101" s="84">
        <f t="shared" si="12"/>
        <v>0</v>
      </c>
    </row>
    <row r="102" spans="5:28" hidden="1" x14ac:dyDescent="0.25">
      <c r="F102" s="792" t="s">
        <v>243</v>
      </c>
      <c r="G102" s="793" t="s">
        <v>244</v>
      </c>
      <c r="J102" s="764" t="e">
        <f t="shared" si="13"/>
        <v>#DIV/0!</v>
      </c>
      <c r="R102" s="766" t="e">
        <f t="shared" si="14"/>
        <v>#DIV/0!</v>
      </c>
      <c r="S102" s="796" t="e">
        <f t="shared" si="15"/>
        <v>#DIV/0!</v>
      </c>
      <c r="AB102" s="84">
        <f t="shared" si="12"/>
        <v>0</v>
      </c>
    </row>
    <row r="103" spans="5:28" hidden="1" x14ac:dyDescent="0.25">
      <c r="F103" s="792" t="s">
        <v>245</v>
      </c>
      <c r="G103" s="793" t="s">
        <v>246</v>
      </c>
      <c r="J103" s="764" t="e">
        <f t="shared" si="13"/>
        <v>#DIV/0!</v>
      </c>
      <c r="R103" s="766" t="e">
        <f t="shared" si="14"/>
        <v>#DIV/0!</v>
      </c>
      <c r="S103" s="796" t="e">
        <f t="shared" si="15"/>
        <v>#DIV/0!</v>
      </c>
      <c r="AB103" s="84">
        <f t="shared" si="12"/>
        <v>0</v>
      </c>
    </row>
    <row r="104" spans="5:28" hidden="1" x14ac:dyDescent="0.25">
      <c r="F104" s="792" t="s">
        <v>247</v>
      </c>
      <c r="G104" s="793" t="s">
        <v>4745</v>
      </c>
      <c r="J104" s="764" t="e">
        <f t="shared" si="13"/>
        <v>#DIV/0!</v>
      </c>
      <c r="R104" s="766" t="e">
        <f t="shared" si="14"/>
        <v>#DIV/0!</v>
      </c>
      <c r="S104" s="796" t="e">
        <f t="shared" si="15"/>
        <v>#DIV/0!</v>
      </c>
      <c r="AB104" s="84">
        <f t="shared" si="12"/>
        <v>0</v>
      </c>
    </row>
    <row r="105" spans="5:28" ht="30" hidden="1" x14ac:dyDescent="0.25">
      <c r="F105" s="792" t="s">
        <v>248</v>
      </c>
      <c r="G105" s="793" t="s">
        <v>4744</v>
      </c>
      <c r="J105" s="764" t="e">
        <f t="shared" si="13"/>
        <v>#DIV/0!</v>
      </c>
      <c r="R105" s="766" t="e">
        <f t="shared" si="14"/>
        <v>#DIV/0!</v>
      </c>
      <c r="S105" s="796" t="e">
        <f t="shared" si="15"/>
        <v>#DIV/0!</v>
      </c>
      <c r="AB105" s="84">
        <f t="shared" si="12"/>
        <v>0</v>
      </c>
    </row>
    <row r="106" spans="5:28" hidden="1" x14ac:dyDescent="0.25">
      <c r="F106" s="792" t="s">
        <v>249</v>
      </c>
      <c r="G106" s="793" t="s">
        <v>58</v>
      </c>
      <c r="J106" s="764" t="e">
        <f t="shared" si="13"/>
        <v>#DIV/0!</v>
      </c>
      <c r="R106" s="766" t="e">
        <f t="shared" si="14"/>
        <v>#DIV/0!</v>
      </c>
      <c r="S106" s="796" t="e">
        <f t="shared" si="15"/>
        <v>#DIV/0!</v>
      </c>
      <c r="AB106" s="84">
        <f t="shared" si="12"/>
        <v>0</v>
      </c>
    </row>
    <row r="107" spans="5:28" hidden="1" x14ac:dyDescent="0.25">
      <c r="F107" s="792" t="s">
        <v>250</v>
      </c>
      <c r="G107" s="793" t="s">
        <v>251</v>
      </c>
      <c r="J107" s="764" t="e">
        <f t="shared" si="13"/>
        <v>#DIV/0!</v>
      </c>
      <c r="R107" s="766" t="e">
        <f t="shared" si="14"/>
        <v>#DIV/0!</v>
      </c>
      <c r="S107" s="796" t="e">
        <f t="shared" si="15"/>
        <v>#DIV/0!</v>
      </c>
      <c r="AB107" s="84">
        <f t="shared" si="12"/>
        <v>0</v>
      </c>
    </row>
    <row r="108" spans="5:28" hidden="1" x14ac:dyDescent="0.25">
      <c r="F108" s="792" t="s">
        <v>252</v>
      </c>
      <c r="G108" s="793" t="s">
        <v>253</v>
      </c>
      <c r="J108" s="764" t="e">
        <f t="shared" si="13"/>
        <v>#DIV/0!</v>
      </c>
      <c r="R108" s="766" t="e">
        <f t="shared" si="14"/>
        <v>#DIV/0!</v>
      </c>
      <c r="S108" s="796" t="e">
        <f t="shared" si="15"/>
        <v>#DIV/0!</v>
      </c>
      <c r="AB108" s="84">
        <f t="shared" si="12"/>
        <v>0</v>
      </c>
    </row>
    <row r="109" spans="5:28" ht="30" hidden="1" x14ac:dyDescent="0.25">
      <c r="F109" s="792" t="s">
        <v>254</v>
      </c>
      <c r="G109" s="793" t="s">
        <v>255</v>
      </c>
      <c r="J109" s="764" t="e">
        <f t="shared" si="13"/>
        <v>#DIV/0!</v>
      </c>
      <c r="R109" s="766" t="e">
        <f t="shared" si="14"/>
        <v>#DIV/0!</v>
      </c>
      <c r="S109" s="796" t="e">
        <f t="shared" si="15"/>
        <v>#DIV/0!</v>
      </c>
      <c r="AB109" s="84">
        <f t="shared" si="12"/>
        <v>0</v>
      </c>
    </row>
    <row r="110" spans="5:28" hidden="1" x14ac:dyDescent="0.25">
      <c r="F110" s="792" t="s">
        <v>256</v>
      </c>
      <c r="G110" s="793" t="s">
        <v>257</v>
      </c>
      <c r="J110" s="764" t="e">
        <f t="shared" si="13"/>
        <v>#DIV/0!</v>
      </c>
      <c r="R110" s="766" t="e">
        <f t="shared" si="14"/>
        <v>#DIV/0!</v>
      </c>
      <c r="S110" s="796" t="e">
        <f t="shared" si="15"/>
        <v>#DIV/0!</v>
      </c>
      <c r="AB110" s="84">
        <f t="shared" si="12"/>
        <v>0</v>
      </c>
    </row>
    <row r="111" spans="5:28" ht="30" hidden="1" x14ac:dyDescent="0.25">
      <c r="F111" s="792" t="s">
        <v>258</v>
      </c>
      <c r="G111" s="793" t="s">
        <v>259</v>
      </c>
      <c r="J111" s="764" t="e">
        <f t="shared" si="13"/>
        <v>#DIV/0!</v>
      </c>
      <c r="R111" s="766" t="e">
        <f t="shared" si="14"/>
        <v>#DIV/0!</v>
      </c>
      <c r="S111" s="796" t="e">
        <f t="shared" si="15"/>
        <v>#DIV/0!</v>
      </c>
      <c r="AB111" s="84">
        <f t="shared" si="12"/>
        <v>0</v>
      </c>
    </row>
    <row r="112" spans="5:28" ht="30" hidden="1" x14ac:dyDescent="0.25">
      <c r="F112" s="792" t="s">
        <v>260</v>
      </c>
      <c r="G112" s="793" t="s">
        <v>261</v>
      </c>
      <c r="J112" s="764" t="e">
        <f t="shared" si="13"/>
        <v>#DIV/0!</v>
      </c>
      <c r="R112" s="766" t="e">
        <f t="shared" si="14"/>
        <v>#DIV/0!</v>
      </c>
      <c r="S112" s="796" t="e">
        <f t="shared" si="15"/>
        <v>#DIV/0!</v>
      </c>
      <c r="AB112" s="84">
        <f t="shared" si="12"/>
        <v>0</v>
      </c>
    </row>
    <row r="113" spans="5:28" ht="15.75" hidden="1" thickBot="1" x14ac:dyDescent="0.3">
      <c r="F113" s="792" t="s">
        <v>262</v>
      </c>
      <c r="G113" s="793" t="s">
        <v>263</v>
      </c>
      <c r="H113" s="794"/>
      <c r="I113" s="794"/>
      <c r="J113" s="795" t="e">
        <f t="shared" si="13"/>
        <v>#DIV/0!</v>
      </c>
      <c r="K113" s="794"/>
      <c r="L113" s="796"/>
      <c r="M113" s="796"/>
      <c r="N113" s="797"/>
      <c r="O113" s="796"/>
      <c r="P113" s="796"/>
      <c r="Q113" s="796"/>
      <c r="R113" s="797" t="e">
        <f t="shared" si="14"/>
        <v>#DIV/0!</v>
      </c>
      <c r="S113" s="796" t="e">
        <f t="shared" si="15"/>
        <v>#DIV/0!</v>
      </c>
      <c r="AB113" s="84">
        <f t="shared" si="12"/>
        <v>0</v>
      </c>
    </row>
    <row r="114" spans="5:28" ht="15.75" collapsed="1" thickBot="1" x14ac:dyDescent="0.3">
      <c r="G114" s="798" t="s">
        <v>4906</v>
      </c>
      <c r="H114" s="799">
        <f>SUM(H98:H113)</f>
        <v>8080033</v>
      </c>
      <c r="I114" s="799">
        <f>SUM(I98:I113)</f>
        <v>4083135.84</v>
      </c>
      <c r="J114" s="800">
        <f t="shared" si="13"/>
        <v>0.50533653018496338</v>
      </c>
      <c r="K114" s="799">
        <f>SUM(K98:K113)</f>
        <v>3996897.1599999997</v>
      </c>
      <c r="L114" s="801">
        <f>SUM(L99:L113)</f>
        <v>0</v>
      </c>
      <c r="M114" s="801">
        <f>SUM(M99:M113)</f>
        <v>0</v>
      </c>
      <c r="N114" s="802"/>
      <c r="O114" s="801">
        <f>SUM(O98:O113)</f>
        <v>0</v>
      </c>
      <c r="P114" s="801">
        <f>SUM(P98:P113)</f>
        <v>8080033</v>
      </c>
      <c r="Q114" s="801">
        <f>SUM(Q98:Q113)</f>
        <v>4083135.84</v>
      </c>
      <c r="R114" s="802">
        <f t="shared" si="14"/>
        <v>0.50533653018496338</v>
      </c>
      <c r="S114" s="801">
        <f>P114-Q114</f>
        <v>3996897.16</v>
      </c>
      <c r="AB114" s="84">
        <f t="shared" si="12"/>
        <v>0</v>
      </c>
    </row>
    <row r="115" spans="5:28" collapsed="1" x14ac:dyDescent="0.25">
      <c r="AB115" s="84">
        <f t="shared" si="12"/>
        <v>0</v>
      </c>
    </row>
    <row r="116" spans="5:28" x14ac:dyDescent="0.25">
      <c r="G116" s="811"/>
      <c r="H116" s="812"/>
      <c r="I116" s="812"/>
      <c r="J116" s="813"/>
      <c r="K116" s="812"/>
      <c r="L116" s="814"/>
      <c r="M116" s="814"/>
      <c r="N116" s="815"/>
      <c r="O116" s="814"/>
      <c r="P116" s="814"/>
      <c r="Q116" s="814"/>
      <c r="R116" s="815"/>
      <c r="S116" s="814"/>
      <c r="AB116" s="84">
        <f t="shared" ref="AB116:AB132" si="16">Z116-AA116</f>
        <v>0</v>
      </c>
    </row>
    <row r="117" spans="5:28" x14ac:dyDescent="0.25">
      <c r="E117" s="784"/>
      <c r="F117" s="785"/>
      <c r="G117" s="821" t="s">
        <v>4910</v>
      </c>
      <c r="H117" s="822"/>
      <c r="I117" s="822"/>
      <c r="J117" s="823"/>
      <c r="K117" s="822"/>
      <c r="L117" s="824"/>
      <c r="M117" s="824"/>
      <c r="N117" s="825"/>
      <c r="O117" s="824"/>
      <c r="P117" s="824"/>
      <c r="Q117" s="824"/>
      <c r="R117" s="825"/>
      <c r="S117" s="880"/>
      <c r="AB117" s="84">
        <f t="shared" si="16"/>
        <v>0</v>
      </c>
    </row>
    <row r="118" spans="5:28" ht="15.75" thickBot="1" x14ac:dyDescent="0.3">
      <c r="E118" s="791"/>
      <c r="F118" s="792" t="s">
        <v>235</v>
      </c>
      <c r="G118" s="793" t="s">
        <v>236</v>
      </c>
      <c r="H118" s="794">
        <f>H98</f>
        <v>8080033</v>
      </c>
      <c r="I118" s="794" t="e">
        <f>SUM(#REF!,#REF!,I98,#REF!)</f>
        <v>#REF!</v>
      </c>
      <c r="J118" s="795" t="e">
        <f>I118/H118</f>
        <v>#REF!</v>
      </c>
      <c r="K118" s="794" t="e">
        <f>SUM(#REF!,#REF!,K98,#REF!)</f>
        <v>#REF!</v>
      </c>
      <c r="L118" s="796">
        <f>L98</f>
        <v>0</v>
      </c>
      <c r="M118" s="796" t="e">
        <f>SUM(#REF!,#REF!,M98,#REF!)</f>
        <v>#REF!</v>
      </c>
      <c r="N118" s="797"/>
      <c r="O118" s="796" t="e">
        <f>SUM(#REF!,#REF!,O98,#REF!)</f>
        <v>#REF!</v>
      </c>
      <c r="P118" s="796">
        <f>P98</f>
        <v>8080033</v>
      </c>
      <c r="Q118" s="796" t="e">
        <f>SUM(#REF!,#REF!,Q98,#REF!)</f>
        <v>#REF!</v>
      </c>
      <c r="R118" s="797" t="e">
        <f>Q118/P118</f>
        <v>#REF!</v>
      </c>
      <c r="S118" s="796" t="e">
        <f>SUM(#REF!,#REF!,S98,#REF!)</f>
        <v>#REF!</v>
      </c>
      <c r="AB118" s="84">
        <f t="shared" si="16"/>
        <v>0</v>
      </c>
    </row>
    <row r="119" spans="5:28" ht="15.75" hidden="1" thickBot="1" x14ac:dyDescent="0.3">
      <c r="F119" s="792" t="s">
        <v>237</v>
      </c>
      <c r="G119" s="793" t="s">
        <v>238</v>
      </c>
      <c r="S119" s="796">
        <f t="shared" ref="S119:S133" si="17">SUM(H119:L119)</f>
        <v>0</v>
      </c>
      <c r="AB119" s="84">
        <f t="shared" si="16"/>
        <v>0</v>
      </c>
    </row>
    <row r="120" spans="5:28" ht="15.75" hidden="1" thickBot="1" x14ac:dyDescent="0.3">
      <c r="F120" s="792" t="s">
        <v>239</v>
      </c>
      <c r="G120" s="793" t="s">
        <v>240</v>
      </c>
      <c r="S120" s="796">
        <f t="shared" si="17"/>
        <v>0</v>
      </c>
      <c r="AB120" s="84">
        <f t="shared" si="16"/>
        <v>0</v>
      </c>
    </row>
    <row r="121" spans="5:28" ht="15.75" hidden="1" thickBot="1" x14ac:dyDescent="0.3">
      <c r="F121" s="792" t="s">
        <v>241</v>
      </c>
      <c r="G121" s="793" t="s">
        <v>242</v>
      </c>
      <c r="L121" s="765">
        <f>SUM(L83)</f>
        <v>0</v>
      </c>
      <c r="S121" s="796">
        <f t="shared" si="17"/>
        <v>0</v>
      </c>
      <c r="AB121" s="84">
        <f t="shared" si="16"/>
        <v>0</v>
      </c>
    </row>
    <row r="122" spans="5:28" ht="15.75" hidden="1" thickBot="1" x14ac:dyDescent="0.3">
      <c r="F122" s="792" t="s">
        <v>243</v>
      </c>
      <c r="G122" s="793" t="s">
        <v>244</v>
      </c>
      <c r="S122" s="796">
        <f t="shared" si="17"/>
        <v>0</v>
      </c>
      <c r="AB122" s="84">
        <f t="shared" si="16"/>
        <v>0</v>
      </c>
    </row>
    <row r="123" spans="5:28" ht="15.75" hidden="1" thickBot="1" x14ac:dyDescent="0.3">
      <c r="F123" s="792" t="s">
        <v>245</v>
      </c>
      <c r="G123" s="793" t="s">
        <v>246</v>
      </c>
      <c r="S123" s="796">
        <f t="shared" si="17"/>
        <v>0</v>
      </c>
      <c r="AB123" s="84">
        <f t="shared" si="16"/>
        <v>0</v>
      </c>
    </row>
    <row r="124" spans="5:28" ht="15.75" hidden="1" thickBot="1" x14ac:dyDescent="0.3">
      <c r="F124" s="792" t="s">
        <v>247</v>
      </c>
      <c r="G124" s="793" t="s">
        <v>4745</v>
      </c>
      <c r="S124" s="796">
        <f t="shared" si="17"/>
        <v>0</v>
      </c>
      <c r="AB124" s="84">
        <f t="shared" si="16"/>
        <v>0</v>
      </c>
    </row>
    <row r="125" spans="5:28" ht="30.75" hidden="1" thickBot="1" x14ac:dyDescent="0.3">
      <c r="F125" s="792" t="s">
        <v>248</v>
      </c>
      <c r="G125" s="793" t="s">
        <v>4744</v>
      </c>
      <c r="S125" s="796">
        <f t="shared" si="17"/>
        <v>0</v>
      </c>
      <c r="AB125" s="84">
        <f t="shared" si="16"/>
        <v>0</v>
      </c>
    </row>
    <row r="126" spans="5:28" ht="15.75" hidden="1" thickBot="1" x14ac:dyDescent="0.3">
      <c r="F126" s="792" t="s">
        <v>249</v>
      </c>
      <c r="G126" s="793" t="s">
        <v>58</v>
      </c>
      <c r="S126" s="796">
        <f t="shared" si="17"/>
        <v>0</v>
      </c>
      <c r="AB126" s="84">
        <f t="shared" si="16"/>
        <v>0</v>
      </c>
    </row>
    <row r="127" spans="5:28" ht="15.75" hidden="1" thickBot="1" x14ac:dyDescent="0.3">
      <c r="F127" s="792" t="s">
        <v>250</v>
      </c>
      <c r="G127" s="793" t="s">
        <v>251</v>
      </c>
      <c r="S127" s="796">
        <f t="shared" si="17"/>
        <v>0</v>
      </c>
      <c r="AB127" s="84">
        <f t="shared" si="16"/>
        <v>0</v>
      </c>
    </row>
    <row r="128" spans="5:28" ht="15.75" hidden="1" thickBot="1" x14ac:dyDescent="0.3">
      <c r="F128" s="792" t="s">
        <v>252</v>
      </c>
      <c r="G128" s="793" t="s">
        <v>253</v>
      </c>
      <c r="S128" s="796">
        <f t="shared" si="17"/>
        <v>0</v>
      </c>
      <c r="AB128" s="84">
        <f t="shared" si="16"/>
        <v>0</v>
      </c>
    </row>
    <row r="129" spans="1:28" ht="30.75" hidden="1" thickBot="1" x14ac:dyDescent="0.3">
      <c r="F129" s="792" t="s">
        <v>254</v>
      </c>
      <c r="G129" s="793" t="s">
        <v>255</v>
      </c>
      <c r="S129" s="796">
        <f t="shared" si="17"/>
        <v>0</v>
      </c>
      <c r="AB129" s="84">
        <f t="shared" si="16"/>
        <v>0</v>
      </c>
    </row>
    <row r="130" spans="1:28" ht="15.75" hidden="1" thickBot="1" x14ac:dyDescent="0.3">
      <c r="F130" s="792" t="s">
        <v>256</v>
      </c>
      <c r="G130" s="793" t="s">
        <v>257</v>
      </c>
      <c r="S130" s="796">
        <f t="shared" si="17"/>
        <v>0</v>
      </c>
      <c r="AB130" s="84">
        <f t="shared" si="16"/>
        <v>0</v>
      </c>
    </row>
    <row r="131" spans="1:28" ht="30.75" hidden="1" thickBot="1" x14ac:dyDescent="0.3">
      <c r="F131" s="792" t="s">
        <v>258</v>
      </c>
      <c r="G131" s="793" t="s">
        <v>259</v>
      </c>
      <c r="S131" s="796">
        <f t="shared" si="17"/>
        <v>0</v>
      </c>
      <c r="AB131" s="84">
        <f t="shared" si="16"/>
        <v>0</v>
      </c>
    </row>
    <row r="132" spans="1:28" ht="30.75" hidden="1" thickBot="1" x14ac:dyDescent="0.3">
      <c r="F132" s="792" t="s">
        <v>260</v>
      </c>
      <c r="G132" s="793" t="s">
        <v>261</v>
      </c>
      <c r="S132" s="796">
        <f t="shared" si="17"/>
        <v>0</v>
      </c>
      <c r="AB132" s="84">
        <f t="shared" si="16"/>
        <v>0</v>
      </c>
    </row>
    <row r="133" spans="1:28" ht="15.75" hidden="1" thickBot="1" x14ac:dyDescent="0.3">
      <c r="F133" s="792" t="s">
        <v>262</v>
      </c>
      <c r="G133" s="793" t="s">
        <v>263</v>
      </c>
      <c r="H133" s="794"/>
      <c r="I133" s="794"/>
      <c r="J133" s="795"/>
      <c r="K133" s="794"/>
      <c r="L133" s="796"/>
      <c r="M133" s="796"/>
      <c r="N133" s="797"/>
      <c r="O133" s="796"/>
      <c r="P133" s="796"/>
      <c r="Q133" s="796"/>
      <c r="R133" s="797"/>
      <c r="S133" s="796">
        <f t="shared" si="17"/>
        <v>0</v>
      </c>
      <c r="AB133" s="84">
        <f t="shared" ref="AB133:AB196" si="18">Z133-AA133</f>
        <v>0</v>
      </c>
    </row>
    <row r="134" spans="1:28" ht="15.75" thickBot="1" x14ac:dyDescent="0.3">
      <c r="G134" s="798" t="s">
        <v>4911</v>
      </c>
      <c r="H134" s="799">
        <f>SUM(H118:H133)</f>
        <v>8080033</v>
      </c>
      <c r="I134" s="799" t="e">
        <f>SUM(I118:I133)</f>
        <v>#REF!</v>
      </c>
      <c r="J134" s="800" t="e">
        <f>SUM(J118:J133)</f>
        <v>#REF!</v>
      </c>
      <c r="K134" s="799" t="e">
        <f>SUM(K118:K133)</f>
        <v>#REF!</v>
      </c>
      <c r="L134" s="801">
        <f>SUM(L119:L133)</f>
        <v>0</v>
      </c>
      <c r="M134" s="801" t="e">
        <f t="shared" ref="M134:S134" si="19">SUM(M118:M133)</f>
        <v>#REF!</v>
      </c>
      <c r="N134" s="802"/>
      <c r="O134" s="801" t="e">
        <f t="shared" si="19"/>
        <v>#REF!</v>
      </c>
      <c r="P134" s="801">
        <f t="shared" si="19"/>
        <v>8080033</v>
      </c>
      <c r="Q134" s="801" t="e">
        <f t="shared" si="19"/>
        <v>#REF!</v>
      </c>
      <c r="R134" s="802" t="e">
        <f t="shared" si="19"/>
        <v>#REF!</v>
      </c>
      <c r="S134" s="801" t="e">
        <f t="shared" si="19"/>
        <v>#REF!</v>
      </c>
      <c r="AB134" s="84">
        <f t="shared" si="18"/>
        <v>0</v>
      </c>
    </row>
    <row r="135" spans="1:28" x14ac:dyDescent="0.25">
      <c r="AB135" s="84">
        <f t="shared" si="18"/>
        <v>0</v>
      </c>
    </row>
    <row r="136" spans="1:28" s="204" customFormat="1" hidden="1" x14ac:dyDescent="0.25">
      <c r="A136" s="881"/>
      <c r="B136" s="882"/>
      <c r="C136" s="883" t="s">
        <v>4914</v>
      </c>
      <c r="D136" s="884"/>
      <c r="E136" s="885"/>
      <c r="F136" s="884"/>
      <c r="G136" s="886" t="s">
        <v>4771</v>
      </c>
      <c r="H136" s="887"/>
      <c r="I136" s="887"/>
      <c r="J136" s="888"/>
      <c r="K136" s="887"/>
      <c r="L136" s="889"/>
      <c r="M136" s="889"/>
      <c r="N136" s="890"/>
      <c r="O136" s="889"/>
      <c r="P136" s="889"/>
      <c r="Q136" s="889"/>
      <c r="R136" s="890"/>
      <c r="S136" s="891"/>
      <c r="T136" s="873"/>
      <c r="V136" s="892"/>
      <c r="W136" s="892"/>
      <c r="X136" s="833"/>
      <c r="Y136" s="834"/>
      <c r="Z136" s="830"/>
      <c r="AA136" s="831"/>
      <c r="AB136" s="204">
        <f t="shared" si="18"/>
        <v>0</v>
      </c>
    </row>
    <row r="137" spans="1:28" s="204" customFormat="1" hidden="1" x14ac:dyDescent="0.25">
      <c r="A137" s="881"/>
      <c r="B137" s="882"/>
      <c r="C137" s="893" t="s">
        <v>4929</v>
      </c>
      <c r="D137" s="894"/>
      <c r="E137" s="895"/>
      <c r="F137" s="896"/>
      <c r="G137" s="897" t="s">
        <v>4916</v>
      </c>
      <c r="H137" s="887"/>
      <c r="I137" s="887"/>
      <c r="J137" s="888"/>
      <c r="K137" s="887"/>
      <c r="L137" s="889"/>
      <c r="M137" s="889"/>
      <c r="N137" s="890"/>
      <c r="O137" s="889"/>
      <c r="P137" s="889"/>
      <c r="Q137" s="889"/>
      <c r="R137" s="890"/>
      <c r="S137" s="891"/>
      <c r="T137" s="873"/>
      <c r="V137" s="892"/>
      <c r="W137" s="892"/>
      <c r="X137" s="833"/>
      <c r="Y137" s="834"/>
      <c r="Z137" s="830"/>
      <c r="AA137" s="831"/>
      <c r="AB137" s="204">
        <f t="shared" si="18"/>
        <v>0</v>
      </c>
    </row>
    <row r="138" spans="1:28" s="204" customFormat="1" hidden="1" x14ac:dyDescent="0.25">
      <c r="A138" s="881"/>
      <c r="B138" s="882"/>
      <c r="C138" s="883"/>
      <c r="D138" s="898">
        <v>640</v>
      </c>
      <c r="E138" s="899"/>
      <c r="F138" s="898"/>
      <c r="G138" s="900" t="s">
        <v>185</v>
      </c>
      <c r="H138" s="887"/>
      <c r="I138" s="887"/>
      <c r="J138" s="888"/>
      <c r="K138" s="887"/>
      <c r="L138" s="889"/>
      <c r="M138" s="889"/>
      <c r="N138" s="890"/>
      <c r="O138" s="889"/>
      <c r="P138" s="889"/>
      <c r="Q138" s="889"/>
      <c r="R138" s="890"/>
      <c r="S138" s="891"/>
      <c r="T138" s="873"/>
      <c r="V138" s="892"/>
      <c r="W138" s="892"/>
      <c r="X138" s="833"/>
      <c r="Y138" s="834"/>
      <c r="Z138" s="830"/>
      <c r="AA138" s="831"/>
      <c r="AB138" s="204">
        <f t="shared" si="18"/>
        <v>0</v>
      </c>
    </row>
    <row r="139" spans="1:28" s="204" customFormat="1" hidden="1" x14ac:dyDescent="0.25">
      <c r="A139" s="881"/>
      <c r="B139" s="882"/>
      <c r="C139" s="901"/>
      <c r="D139" s="881"/>
      <c r="E139" s="902">
        <v>28</v>
      </c>
      <c r="F139" s="903">
        <v>421</v>
      </c>
      <c r="G139" s="904" t="s">
        <v>3781</v>
      </c>
      <c r="H139" s="887">
        <v>0</v>
      </c>
      <c r="I139" s="887">
        <v>0</v>
      </c>
      <c r="J139" s="888"/>
      <c r="K139" s="887">
        <f>H139-I139</f>
        <v>0</v>
      </c>
      <c r="L139" s="889">
        <v>0</v>
      </c>
      <c r="M139" s="889">
        <v>0</v>
      </c>
      <c r="N139" s="890" t="e">
        <f>M139/L139</f>
        <v>#DIV/0!</v>
      </c>
      <c r="O139" s="889">
        <f>L139-M139</f>
        <v>0</v>
      </c>
      <c r="P139" s="889">
        <f>L139+H139</f>
        <v>0</v>
      </c>
      <c r="Q139" s="889"/>
      <c r="R139" s="890"/>
      <c r="S139" s="891">
        <f>SUM(H139:L139)</f>
        <v>0</v>
      </c>
      <c r="T139" s="905" t="s">
        <v>4936</v>
      </c>
      <c r="V139" s="892"/>
      <c r="W139" s="892"/>
      <c r="X139" s="833"/>
      <c r="Y139" s="834"/>
      <c r="Z139" s="830"/>
      <c r="AA139" s="831"/>
      <c r="AB139" s="204">
        <f t="shared" si="18"/>
        <v>0</v>
      </c>
    </row>
    <row r="140" spans="1:28" s="204" customFormat="1" hidden="1" x14ac:dyDescent="0.25">
      <c r="A140" s="881"/>
      <c r="B140" s="882"/>
      <c r="C140" s="901"/>
      <c r="D140" s="881"/>
      <c r="E140" s="902">
        <v>29</v>
      </c>
      <c r="F140" s="903">
        <v>425</v>
      </c>
      <c r="G140" s="906" t="s">
        <v>4127</v>
      </c>
      <c r="H140" s="887">
        <v>0</v>
      </c>
      <c r="I140" s="887">
        <v>0</v>
      </c>
      <c r="J140" s="888"/>
      <c r="K140" s="887">
        <f>H140-I140</f>
        <v>0</v>
      </c>
      <c r="L140" s="889">
        <v>0</v>
      </c>
      <c r="M140" s="889">
        <v>0</v>
      </c>
      <c r="N140" s="890" t="e">
        <f>M140/L140</f>
        <v>#DIV/0!</v>
      </c>
      <c r="O140" s="889">
        <f>L140-M140</f>
        <v>0</v>
      </c>
      <c r="P140" s="889">
        <f>L140+H140</f>
        <v>0</v>
      </c>
      <c r="Q140" s="889">
        <f>M140+I140</f>
        <v>0</v>
      </c>
      <c r="R140" s="890" t="e">
        <f>Q140/P140</f>
        <v>#DIV/0!</v>
      </c>
      <c r="S140" s="891">
        <f>P140-Q140</f>
        <v>0</v>
      </c>
      <c r="T140" s="873"/>
      <c r="V140" s="892"/>
      <c r="W140" s="892"/>
      <c r="X140" s="833"/>
      <c r="Y140" s="834"/>
      <c r="Z140" s="830"/>
      <c r="AA140" s="831"/>
      <c r="AB140" s="204">
        <f t="shared" si="18"/>
        <v>0</v>
      </c>
    </row>
    <row r="141" spans="1:28" s="204" customFormat="1" hidden="1" x14ac:dyDescent="0.25">
      <c r="A141" s="881"/>
      <c r="B141" s="882"/>
      <c r="C141" s="901"/>
      <c r="D141" s="881"/>
      <c r="E141" s="902">
        <v>30</v>
      </c>
      <c r="F141" s="903">
        <v>444</v>
      </c>
      <c r="G141" s="906" t="s">
        <v>5008</v>
      </c>
      <c r="H141" s="887">
        <v>0</v>
      </c>
      <c r="I141" s="887"/>
      <c r="J141" s="888"/>
      <c r="K141" s="887"/>
      <c r="L141" s="889">
        <v>0</v>
      </c>
      <c r="M141" s="889"/>
      <c r="N141" s="890"/>
      <c r="O141" s="889"/>
      <c r="P141" s="889">
        <f>L141+H141</f>
        <v>0</v>
      </c>
      <c r="Q141" s="889"/>
      <c r="R141" s="890"/>
      <c r="S141" s="891"/>
      <c r="T141" s="873"/>
      <c r="V141" s="892"/>
      <c r="W141" s="892"/>
      <c r="X141" s="833"/>
      <c r="Y141" s="834"/>
      <c r="Z141" s="830"/>
      <c r="AA141" s="831"/>
      <c r="AB141" s="204">
        <f t="shared" si="18"/>
        <v>0</v>
      </c>
    </row>
    <row r="142" spans="1:28" s="204" customFormat="1" hidden="1" x14ac:dyDescent="0.25">
      <c r="A142" s="884"/>
      <c r="B142" s="885"/>
      <c r="C142" s="907"/>
      <c r="D142" s="884"/>
      <c r="E142" s="908"/>
      <c r="F142" s="909"/>
      <c r="G142" s="910" t="s">
        <v>4930</v>
      </c>
      <c r="H142" s="911"/>
      <c r="I142" s="911"/>
      <c r="J142" s="912"/>
      <c r="K142" s="911"/>
      <c r="L142" s="913"/>
      <c r="M142" s="913"/>
      <c r="N142" s="914"/>
      <c r="O142" s="913"/>
      <c r="P142" s="913"/>
      <c r="Q142" s="913"/>
      <c r="R142" s="914"/>
      <c r="S142" s="911"/>
      <c r="T142" s="873"/>
      <c r="V142" s="892"/>
      <c r="W142" s="892"/>
      <c r="X142" s="833"/>
      <c r="Y142" s="834"/>
      <c r="Z142" s="830"/>
      <c r="AA142" s="831"/>
      <c r="AB142" s="204">
        <f t="shared" si="18"/>
        <v>0</v>
      </c>
    </row>
    <row r="143" spans="1:28" s="204" customFormat="1" hidden="1" x14ac:dyDescent="0.25">
      <c r="A143" s="884"/>
      <c r="B143" s="885"/>
      <c r="C143" s="907"/>
      <c r="D143" s="884"/>
      <c r="E143" s="915"/>
      <c r="F143" s="916" t="s">
        <v>235</v>
      </c>
      <c r="G143" s="917" t="s">
        <v>236</v>
      </c>
      <c r="H143" s="887">
        <f>SUM(H139:H141)</f>
        <v>0</v>
      </c>
      <c r="I143" s="887">
        <f>SUM(I139:I140)</f>
        <v>0</v>
      </c>
      <c r="J143" s="888"/>
      <c r="K143" s="887">
        <f>SUM(K139:K140)</f>
        <v>0</v>
      </c>
      <c r="L143" s="918">
        <f>SUM(L140)</f>
        <v>0</v>
      </c>
      <c r="M143" s="918">
        <f>SUM(M140)</f>
        <v>0</v>
      </c>
      <c r="N143" s="919" t="e">
        <f>M143/L143</f>
        <v>#DIV/0!</v>
      </c>
      <c r="O143" s="918">
        <f>L143-M143</f>
        <v>0</v>
      </c>
      <c r="P143" s="918">
        <f>L143+H143</f>
        <v>0</v>
      </c>
      <c r="Q143" s="918">
        <f>M143+I143</f>
        <v>0</v>
      </c>
      <c r="R143" s="919" t="e">
        <f>Q143/P143</f>
        <v>#DIV/0!</v>
      </c>
      <c r="S143" s="918">
        <f>P143-Q143</f>
        <v>0</v>
      </c>
      <c r="T143" s="873"/>
      <c r="V143" s="892"/>
      <c r="W143" s="892"/>
      <c r="X143" s="833"/>
      <c r="Y143" s="834"/>
      <c r="Z143" s="830"/>
      <c r="AA143" s="831"/>
      <c r="AB143" s="204">
        <f t="shared" si="18"/>
        <v>0</v>
      </c>
    </row>
    <row r="144" spans="1:28" hidden="1" x14ac:dyDescent="0.25">
      <c r="F144" s="759" t="s">
        <v>256</v>
      </c>
      <c r="G144" s="879" t="s">
        <v>257</v>
      </c>
      <c r="H144" s="763">
        <v>0</v>
      </c>
      <c r="N144" s="766">
        <v>0</v>
      </c>
      <c r="P144" s="765">
        <v>0</v>
      </c>
      <c r="AB144" s="84">
        <f t="shared" si="18"/>
        <v>0</v>
      </c>
    </row>
    <row r="145" spans="1:28" s="204" customFormat="1" ht="15.75" hidden="1" thickBot="1" x14ac:dyDescent="0.3">
      <c r="A145" s="884"/>
      <c r="B145" s="885"/>
      <c r="C145" s="907"/>
      <c r="D145" s="884"/>
      <c r="E145" s="885"/>
      <c r="F145" s="884"/>
      <c r="G145" s="920" t="s">
        <v>4931</v>
      </c>
      <c r="H145" s="921">
        <f>SUM(H143)</f>
        <v>0</v>
      </c>
      <c r="I145" s="921">
        <f>SUM(I129)</f>
        <v>0</v>
      </c>
      <c r="J145" s="922"/>
      <c r="K145" s="921">
        <f>SUM(K129)</f>
        <v>0</v>
      </c>
      <c r="L145" s="923">
        <f>SUM(L129:L141)</f>
        <v>0</v>
      </c>
      <c r="M145" s="923">
        <f>SUM(M129)</f>
        <v>0</v>
      </c>
      <c r="N145" s="924" t="e">
        <f>M145/L145</f>
        <v>#DIV/0!</v>
      </c>
      <c r="O145" s="923">
        <f>L145-M145</f>
        <v>0</v>
      </c>
      <c r="P145" s="923">
        <f>L145+H145</f>
        <v>0</v>
      </c>
      <c r="Q145" s="923">
        <f>M145+I145</f>
        <v>0</v>
      </c>
      <c r="R145" s="924" t="e">
        <f>Q145/P145</f>
        <v>#DIV/0!</v>
      </c>
      <c r="S145" s="923">
        <f>P145-Q145</f>
        <v>0</v>
      </c>
      <c r="T145" s="873"/>
      <c r="V145" s="892"/>
      <c r="W145" s="892"/>
      <c r="X145" s="833"/>
      <c r="Y145" s="834"/>
      <c r="Z145" s="830"/>
      <c r="AA145" s="831"/>
      <c r="AB145" s="204">
        <f t="shared" si="18"/>
        <v>0</v>
      </c>
    </row>
    <row r="146" spans="1:28" s="204" customFormat="1" ht="28.5" hidden="1" collapsed="1" x14ac:dyDescent="0.25">
      <c r="A146" s="884"/>
      <c r="B146" s="885"/>
      <c r="C146" s="907"/>
      <c r="D146" s="884"/>
      <c r="E146" s="908"/>
      <c r="F146" s="909"/>
      <c r="G146" s="925" t="s">
        <v>4932</v>
      </c>
      <c r="H146" s="926"/>
      <c r="I146" s="927"/>
      <c r="J146" s="928"/>
      <c r="K146" s="927"/>
      <c r="L146" s="929"/>
      <c r="M146" s="930"/>
      <c r="N146" s="931"/>
      <c r="O146" s="930"/>
      <c r="P146" s="930"/>
      <c r="Q146" s="930"/>
      <c r="R146" s="931"/>
      <c r="S146" s="932"/>
      <c r="T146" s="873"/>
      <c r="V146" s="892"/>
      <c r="W146" s="892"/>
      <c r="X146" s="833"/>
      <c r="Y146" s="834"/>
      <c r="Z146" s="830"/>
      <c r="AA146" s="831"/>
      <c r="AB146" s="204">
        <f t="shared" si="18"/>
        <v>0</v>
      </c>
    </row>
    <row r="147" spans="1:28" s="204" customFormat="1" hidden="1" x14ac:dyDescent="0.25">
      <c r="A147" s="884"/>
      <c r="B147" s="885"/>
      <c r="C147" s="907"/>
      <c r="D147" s="884"/>
      <c r="E147" s="915"/>
      <c r="F147" s="916" t="s">
        <v>235</v>
      </c>
      <c r="G147" s="917" t="s">
        <v>236</v>
      </c>
      <c r="H147" s="887">
        <f>H143</f>
        <v>0</v>
      </c>
      <c r="I147" s="887">
        <f>SUM(I129)</f>
        <v>0</v>
      </c>
      <c r="J147" s="888"/>
      <c r="K147" s="887">
        <f>SUM(K129)</f>
        <v>0</v>
      </c>
      <c r="L147" s="918">
        <f>SUM(L129)</f>
        <v>0</v>
      </c>
      <c r="M147" s="918">
        <f>SUM(M129)</f>
        <v>0</v>
      </c>
      <c r="N147" s="919">
        <f>SUM(N129)</f>
        <v>0</v>
      </c>
      <c r="O147" s="918">
        <f>SUM(O129)</f>
        <v>0</v>
      </c>
      <c r="P147" s="918">
        <f>H147+L147</f>
        <v>0</v>
      </c>
      <c r="Q147" s="918">
        <f>M147+I147</f>
        <v>0</v>
      </c>
      <c r="R147" s="919" t="e">
        <f>Q147/P147</f>
        <v>#DIV/0!</v>
      </c>
      <c r="S147" s="918">
        <f>P147-Q147</f>
        <v>0</v>
      </c>
      <c r="T147" s="873"/>
      <c r="V147" s="892"/>
      <c r="W147" s="892"/>
      <c r="X147" s="833"/>
      <c r="Y147" s="834"/>
      <c r="Z147" s="830"/>
      <c r="AA147" s="831"/>
      <c r="AB147" s="204">
        <f t="shared" si="18"/>
        <v>0</v>
      </c>
    </row>
    <row r="148" spans="1:28" s="204" customFormat="1" hidden="1" x14ac:dyDescent="0.25">
      <c r="A148" s="884"/>
      <c r="B148" s="885"/>
      <c r="C148" s="907"/>
      <c r="D148" s="884"/>
      <c r="E148" s="885"/>
      <c r="F148" s="933" t="s">
        <v>256</v>
      </c>
      <c r="G148" s="917" t="s">
        <v>257</v>
      </c>
      <c r="H148" s="934">
        <f>H130</f>
        <v>0</v>
      </c>
      <c r="I148" s="934"/>
      <c r="J148" s="935"/>
      <c r="K148" s="934"/>
      <c r="L148" s="889">
        <f>L144</f>
        <v>0</v>
      </c>
      <c r="M148" s="889">
        <f>M130</f>
        <v>0</v>
      </c>
      <c r="N148" s="890">
        <f>N130</f>
        <v>0</v>
      </c>
      <c r="O148" s="889">
        <f>O130</f>
        <v>0</v>
      </c>
      <c r="P148" s="889">
        <f>H148+L148</f>
        <v>0</v>
      </c>
      <c r="Q148" s="889"/>
      <c r="R148" s="890"/>
      <c r="S148" s="918">
        <f>SUM(H148:L148)</f>
        <v>0</v>
      </c>
      <c r="T148" s="873"/>
      <c r="V148" s="892"/>
      <c r="W148" s="892"/>
      <c r="X148" s="833"/>
      <c r="Y148" s="834"/>
      <c r="Z148" s="830"/>
      <c r="AA148" s="831"/>
      <c r="AB148" s="204">
        <f t="shared" si="18"/>
        <v>0</v>
      </c>
    </row>
    <row r="149" spans="1:28" s="204" customFormat="1" ht="15.75" hidden="1" collapsed="1" thickBot="1" x14ac:dyDescent="0.3">
      <c r="A149" s="884"/>
      <c r="B149" s="885"/>
      <c r="C149" s="907"/>
      <c r="D149" s="884"/>
      <c r="E149" s="885"/>
      <c r="F149" s="884"/>
      <c r="G149" s="920" t="s">
        <v>4933</v>
      </c>
      <c r="H149" s="921">
        <f>SUM(H147:H148)</f>
        <v>0</v>
      </c>
      <c r="I149" s="921">
        <f>SUM(I133)</f>
        <v>0</v>
      </c>
      <c r="J149" s="922"/>
      <c r="K149" s="921"/>
      <c r="L149" s="923">
        <f>SUM(L147:L148)</f>
        <v>0</v>
      </c>
      <c r="M149" s="923">
        <f>SUM(M133)</f>
        <v>0</v>
      </c>
      <c r="N149" s="924" t="e">
        <f>M149/L149</f>
        <v>#DIV/0!</v>
      </c>
      <c r="O149" s="923">
        <f>L149-M149</f>
        <v>0</v>
      </c>
      <c r="P149" s="923">
        <f>SUM(P147:P148)</f>
        <v>0</v>
      </c>
      <c r="Q149" s="923">
        <f>M149+I149</f>
        <v>0</v>
      </c>
      <c r="R149" s="924" t="e">
        <f>Q149/P149</f>
        <v>#DIV/0!</v>
      </c>
      <c r="S149" s="923">
        <f>P149-Q149</f>
        <v>0</v>
      </c>
      <c r="T149" s="873"/>
      <c r="V149" s="892"/>
      <c r="W149" s="892"/>
      <c r="X149" s="833"/>
      <c r="Y149" s="834"/>
      <c r="Z149" s="830"/>
      <c r="AA149" s="831"/>
      <c r="AB149" s="204">
        <f t="shared" si="18"/>
        <v>0</v>
      </c>
    </row>
    <row r="150" spans="1:28" hidden="1" x14ac:dyDescent="0.25">
      <c r="AB150" s="84">
        <f t="shared" si="18"/>
        <v>0</v>
      </c>
    </row>
    <row r="151" spans="1:28" hidden="1" x14ac:dyDescent="0.25">
      <c r="E151" s="784"/>
      <c r="F151" s="785"/>
      <c r="G151" s="821" t="s">
        <v>4177</v>
      </c>
      <c r="H151" s="822"/>
      <c r="I151" s="822"/>
      <c r="J151" s="823"/>
      <c r="K151" s="822"/>
      <c r="L151" s="824"/>
      <c r="M151" s="824"/>
      <c r="N151" s="825"/>
      <c r="O151" s="824"/>
      <c r="P151" s="824"/>
      <c r="Q151" s="824"/>
      <c r="R151" s="825"/>
      <c r="S151" s="880"/>
      <c r="AB151" s="84">
        <f t="shared" si="18"/>
        <v>0</v>
      </c>
    </row>
    <row r="152" spans="1:28" hidden="1" x14ac:dyDescent="0.25">
      <c r="E152" s="791"/>
      <c r="F152" s="792" t="s">
        <v>235</v>
      </c>
      <c r="G152" s="793" t="s">
        <v>236</v>
      </c>
      <c r="H152" s="794">
        <f>H147</f>
        <v>0</v>
      </c>
      <c r="I152" s="794"/>
      <c r="J152" s="795" t="e">
        <f>I152/H152</f>
        <v>#DIV/0!</v>
      </c>
      <c r="K152" s="794"/>
      <c r="L152" s="796">
        <v>0</v>
      </c>
      <c r="M152" s="796" t="e">
        <f>SUM(M123,#REF!,#REF!,M148)</f>
        <v>#REF!</v>
      </c>
      <c r="N152" s="797"/>
      <c r="O152" s="796" t="e">
        <f>SUM(O123,#REF!,#REF!,O148)</f>
        <v>#REF!</v>
      </c>
      <c r="P152" s="796">
        <f>H152+L152</f>
        <v>0</v>
      </c>
      <c r="Q152" s="796"/>
      <c r="R152" s="797" t="e">
        <f>Q152/P152</f>
        <v>#DIV/0!</v>
      </c>
      <c r="S152" s="796"/>
      <c r="AB152" s="84">
        <f t="shared" si="18"/>
        <v>0</v>
      </c>
    </row>
    <row r="153" spans="1:28" hidden="1" x14ac:dyDescent="0.25">
      <c r="E153" s="791"/>
      <c r="F153" s="792" t="s">
        <v>256</v>
      </c>
      <c r="G153" s="793" t="s">
        <v>257</v>
      </c>
      <c r="H153" s="794">
        <v>0</v>
      </c>
      <c r="I153" s="794"/>
      <c r="J153" s="795"/>
      <c r="K153" s="794"/>
      <c r="L153" s="796">
        <v>0</v>
      </c>
      <c r="M153" s="796"/>
      <c r="N153" s="797">
        <v>0</v>
      </c>
      <c r="O153" s="796"/>
      <c r="P153" s="796">
        <f>H153+L153</f>
        <v>0</v>
      </c>
      <c r="Q153" s="796"/>
      <c r="R153" s="797"/>
      <c r="S153" s="796"/>
      <c r="AB153" s="84">
        <f t="shared" si="18"/>
        <v>0</v>
      </c>
    </row>
    <row r="154" spans="1:28" ht="15.75" hidden="1" thickBot="1" x14ac:dyDescent="0.3">
      <c r="G154" s="798" t="s">
        <v>4178</v>
      </c>
      <c r="H154" s="799">
        <f>SUM(H152:H153)</f>
        <v>0</v>
      </c>
      <c r="I154" s="799">
        <f>SUM(I137:I152)</f>
        <v>0</v>
      </c>
      <c r="J154" s="800" t="e">
        <f>SUM(J137:J152)</f>
        <v>#DIV/0!</v>
      </c>
      <c r="K154" s="799">
        <f>SUM(K137:K152)</f>
        <v>0</v>
      </c>
      <c r="L154" s="801">
        <f>SUM(L152:L153)</f>
        <v>0</v>
      </c>
      <c r="M154" s="801" t="e">
        <f>SUM(M137:M152)</f>
        <v>#REF!</v>
      </c>
      <c r="N154" s="802"/>
      <c r="O154" s="801" t="e">
        <f>SUM(O137:O152)</f>
        <v>#REF!</v>
      </c>
      <c r="P154" s="801">
        <f>SUM(P152:P153)</f>
        <v>0</v>
      </c>
      <c r="Q154" s="801">
        <f>SUM(Q137:Q152)</f>
        <v>0</v>
      </c>
      <c r="R154" s="802" t="e">
        <f>SUM(R137:R152)</f>
        <v>#DIV/0!</v>
      </c>
      <c r="S154" s="801">
        <f>SUM(S137:S152)</f>
        <v>0</v>
      </c>
      <c r="AB154" s="84">
        <f t="shared" si="18"/>
        <v>0</v>
      </c>
    </row>
    <row r="155" spans="1:28" hidden="1" x14ac:dyDescent="0.25">
      <c r="AB155" s="84">
        <f t="shared" si="18"/>
        <v>0</v>
      </c>
    </row>
    <row r="156" spans="1:28" hidden="1" x14ac:dyDescent="0.25">
      <c r="AB156" s="84">
        <f t="shared" si="18"/>
        <v>0</v>
      </c>
    </row>
    <row r="157" spans="1:28" hidden="1" x14ac:dyDescent="0.25">
      <c r="E157" s="784"/>
      <c r="F157" s="785"/>
      <c r="G157" s="821" t="s">
        <v>4765</v>
      </c>
      <c r="H157" s="822"/>
      <c r="I157" s="822"/>
      <c r="J157" s="823"/>
      <c r="K157" s="822"/>
      <c r="L157" s="824"/>
      <c r="M157" s="824"/>
      <c r="N157" s="825"/>
      <c r="O157" s="824"/>
      <c r="P157" s="824"/>
      <c r="Q157" s="824"/>
      <c r="R157" s="825"/>
      <c r="S157" s="880"/>
      <c r="AB157" s="84">
        <f t="shared" si="18"/>
        <v>0</v>
      </c>
    </row>
    <row r="158" spans="1:28" hidden="1" x14ac:dyDescent="0.25">
      <c r="E158" s="791"/>
      <c r="F158" s="792" t="s">
        <v>235</v>
      </c>
      <c r="G158" s="793" t="s">
        <v>236</v>
      </c>
      <c r="H158" s="794">
        <f>H154+H134</f>
        <v>8080033</v>
      </c>
      <c r="I158" s="794" t="e">
        <f>I154+I134</f>
        <v>#REF!</v>
      </c>
      <c r="J158" s="795" t="e">
        <f>I158/H158</f>
        <v>#REF!</v>
      </c>
      <c r="K158" s="794" t="e">
        <f>SUM(K114,#REF!,#REF!,#REF!)</f>
        <v>#REF!</v>
      </c>
      <c r="L158" s="796" t="e">
        <f>SUM(L114,#REF!,#REF!,#REF!)</f>
        <v>#REF!</v>
      </c>
      <c r="M158" s="796" t="e">
        <f>SUM(M114,#REF!,#REF!,#REF!)</f>
        <v>#REF!</v>
      </c>
      <c r="N158" s="797"/>
      <c r="O158" s="796" t="e">
        <f>SUM(O114,#REF!,#REF!,#REF!)</f>
        <v>#REF!</v>
      </c>
      <c r="P158" s="796" t="e">
        <f>H158+L158</f>
        <v>#REF!</v>
      </c>
      <c r="Q158" s="796" t="e">
        <f>SUM(Q114,#REF!,#REF!,#REF!)</f>
        <v>#REF!</v>
      </c>
      <c r="R158" s="797" t="e">
        <f>Q158/P158</f>
        <v>#REF!</v>
      </c>
      <c r="S158" s="796" t="e">
        <f>SUM(S114,#REF!,#REF!,#REF!)</f>
        <v>#REF!</v>
      </c>
      <c r="AB158" s="84">
        <f t="shared" si="18"/>
        <v>0</v>
      </c>
    </row>
    <row r="159" spans="1:28" hidden="1" x14ac:dyDescent="0.25">
      <c r="F159" s="792" t="s">
        <v>237</v>
      </c>
      <c r="G159" s="793" t="s">
        <v>238</v>
      </c>
      <c r="S159" s="796">
        <f t="shared" ref="S159:S173" si="20">SUM(H159:L159)</f>
        <v>0</v>
      </c>
      <c r="AB159" s="84">
        <f t="shared" si="18"/>
        <v>0</v>
      </c>
    </row>
    <row r="160" spans="1:28" hidden="1" x14ac:dyDescent="0.25">
      <c r="F160" s="792" t="s">
        <v>239</v>
      </c>
      <c r="G160" s="793" t="s">
        <v>240</v>
      </c>
      <c r="S160" s="796">
        <f t="shared" si="20"/>
        <v>0</v>
      </c>
      <c r="AB160" s="84">
        <f t="shared" si="18"/>
        <v>0</v>
      </c>
    </row>
    <row r="161" spans="6:28" hidden="1" x14ac:dyDescent="0.25">
      <c r="F161" s="792" t="s">
        <v>241</v>
      </c>
      <c r="G161" s="793" t="s">
        <v>242</v>
      </c>
      <c r="S161" s="796">
        <f t="shared" si="20"/>
        <v>0</v>
      </c>
      <c r="AB161" s="84">
        <f t="shared" si="18"/>
        <v>0</v>
      </c>
    </row>
    <row r="162" spans="6:28" hidden="1" x14ac:dyDescent="0.25">
      <c r="F162" s="792" t="s">
        <v>243</v>
      </c>
      <c r="G162" s="793" t="s">
        <v>244</v>
      </c>
      <c r="S162" s="796">
        <f t="shared" si="20"/>
        <v>0</v>
      </c>
      <c r="AB162" s="84">
        <f t="shared" si="18"/>
        <v>0</v>
      </c>
    </row>
    <row r="163" spans="6:28" hidden="1" x14ac:dyDescent="0.25">
      <c r="F163" s="792" t="s">
        <v>245</v>
      </c>
      <c r="G163" s="793" t="s">
        <v>246</v>
      </c>
      <c r="S163" s="796">
        <f t="shared" si="20"/>
        <v>0</v>
      </c>
      <c r="AB163" s="84">
        <f t="shared" si="18"/>
        <v>0</v>
      </c>
    </row>
    <row r="164" spans="6:28" hidden="1" x14ac:dyDescent="0.25">
      <c r="F164" s="792" t="s">
        <v>247</v>
      </c>
      <c r="G164" s="793" t="s">
        <v>4745</v>
      </c>
      <c r="S164" s="796">
        <f t="shared" si="20"/>
        <v>0</v>
      </c>
      <c r="AB164" s="84">
        <f t="shared" si="18"/>
        <v>0</v>
      </c>
    </row>
    <row r="165" spans="6:28" ht="30" hidden="1" x14ac:dyDescent="0.25">
      <c r="F165" s="792" t="s">
        <v>248</v>
      </c>
      <c r="G165" s="793" t="s">
        <v>4744</v>
      </c>
      <c r="S165" s="796">
        <f t="shared" si="20"/>
        <v>0</v>
      </c>
      <c r="AB165" s="84">
        <f t="shared" si="18"/>
        <v>0</v>
      </c>
    </row>
    <row r="166" spans="6:28" hidden="1" x14ac:dyDescent="0.25">
      <c r="F166" s="792" t="s">
        <v>249</v>
      </c>
      <c r="G166" s="793" t="s">
        <v>58</v>
      </c>
      <c r="S166" s="796">
        <f t="shared" si="20"/>
        <v>0</v>
      </c>
      <c r="AB166" s="84">
        <f t="shared" si="18"/>
        <v>0</v>
      </c>
    </row>
    <row r="167" spans="6:28" hidden="1" x14ac:dyDescent="0.25">
      <c r="F167" s="792" t="s">
        <v>250</v>
      </c>
      <c r="G167" s="793" t="s">
        <v>251</v>
      </c>
      <c r="S167" s="796">
        <f t="shared" si="20"/>
        <v>0</v>
      </c>
      <c r="AB167" s="84">
        <f t="shared" si="18"/>
        <v>0</v>
      </c>
    </row>
    <row r="168" spans="6:28" hidden="1" x14ac:dyDescent="0.25">
      <c r="F168" s="792" t="s">
        <v>252</v>
      </c>
      <c r="G168" s="793" t="s">
        <v>253</v>
      </c>
      <c r="S168" s="796">
        <f t="shared" si="20"/>
        <v>0</v>
      </c>
      <c r="AB168" s="84">
        <f t="shared" si="18"/>
        <v>0</v>
      </c>
    </row>
    <row r="169" spans="6:28" ht="30" hidden="1" x14ac:dyDescent="0.25">
      <c r="F169" s="792" t="s">
        <v>254</v>
      </c>
      <c r="G169" s="793" t="s">
        <v>255</v>
      </c>
      <c r="S169" s="796">
        <f t="shared" si="20"/>
        <v>0</v>
      </c>
      <c r="AB169" s="84">
        <f t="shared" si="18"/>
        <v>0</v>
      </c>
    </row>
    <row r="170" spans="6:28" hidden="1" x14ac:dyDescent="0.25">
      <c r="F170" s="792" t="s">
        <v>256</v>
      </c>
      <c r="G170" s="793" t="s">
        <v>257</v>
      </c>
      <c r="S170" s="796">
        <f t="shared" si="20"/>
        <v>0</v>
      </c>
      <c r="AB170" s="84">
        <f t="shared" si="18"/>
        <v>0</v>
      </c>
    </row>
    <row r="171" spans="6:28" ht="30" hidden="1" x14ac:dyDescent="0.25">
      <c r="F171" s="792" t="s">
        <v>258</v>
      </c>
      <c r="G171" s="793" t="s">
        <v>259</v>
      </c>
      <c r="S171" s="796">
        <f t="shared" si="20"/>
        <v>0</v>
      </c>
      <c r="AB171" s="84">
        <f t="shared" si="18"/>
        <v>0</v>
      </c>
    </row>
    <row r="172" spans="6:28" ht="30" hidden="1" x14ac:dyDescent="0.25">
      <c r="F172" s="792" t="s">
        <v>260</v>
      </c>
      <c r="G172" s="793" t="s">
        <v>261</v>
      </c>
      <c r="S172" s="796">
        <f t="shared" si="20"/>
        <v>0</v>
      </c>
      <c r="AB172" s="84">
        <f t="shared" si="18"/>
        <v>0</v>
      </c>
    </row>
    <row r="173" spans="6:28" hidden="1" x14ac:dyDescent="0.25">
      <c r="F173" s="792" t="s">
        <v>262</v>
      </c>
      <c r="G173" s="793" t="s">
        <v>263</v>
      </c>
      <c r="H173" s="794"/>
      <c r="I173" s="794"/>
      <c r="J173" s="795"/>
      <c r="K173" s="794"/>
      <c r="L173" s="796"/>
      <c r="M173" s="796"/>
      <c r="N173" s="797"/>
      <c r="O173" s="796"/>
      <c r="P173" s="796"/>
      <c r="Q173" s="796"/>
      <c r="R173" s="797"/>
      <c r="S173" s="796">
        <f t="shared" si="20"/>
        <v>0</v>
      </c>
      <c r="AB173" s="84">
        <f t="shared" si="18"/>
        <v>0</v>
      </c>
    </row>
    <row r="174" spans="6:28" hidden="1" x14ac:dyDescent="0.25">
      <c r="F174" s="792">
        <v>13</v>
      </c>
      <c r="G174" s="793" t="s">
        <v>257</v>
      </c>
      <c r="H174" s="794"/>
      <c r="I174" s="794"/>
      <c r="J174" s="795"/>
      <c r="K174" s="794"/>
      <c r="L174" s="796">
        <v>0</v>
      </c>
      <c r="M174" s="796"/>
      <c r="N174" s="797"/>
      <c r="O174" s="796"/>
      <c r="P174" s="796">
        <f>H174+L174</f>
        <v>0</v>
      </c>
      <c r="Q174" s="796"/>
      <c r="R174" s="797"/>
      <c r="S174" s="796"/>
      <c r="AB174" s="84">
        <f t="shared" si="18"/>
        <v>0</v>
      </c>
    </row>
    <row r="175" spans="6:28" ht="15.75" hidden="1" thickBot="1" x14ac:dyDescent="0.3">
      <c r="G175" s="798" t="s">
        <v>4768</v>
      </c>
      <c r="H175" s="799">
        <f>SUM(H158:H174)</f>
        <v>8080033</v>
      </c>
      <c r="I175" s="799" t="e">
        <f t="shared" ref="I175:S175" si="21">SUM(I158:I173)</f>
        <v>#REF!</v>
      </c>
      <c r="J175" s="800" t="e">
        <f t="shared" si="21"/>
        <v>#REF!</v>
      </c>
      <c r="K175" s="799" t="e">
        <f t="shared" si="21"/>
        <v>#REF!</v>
      </c>
      <c r="L175" s="801" t="e">
        <f>SUM(L158:L174)</f>
        <v>#REF!</v>
      </c>
      <c r="M175" s="801" t="e">
        <f t="shared" si="21"/>
        <v>#REF!</v>
      </c>
      <c r="N175" s="802"/>
      <c r="O175" s="801" t="e">
        <f t="shared" si="21"/>
        <v>#REF!</v>
      </c>
      <c r="P175" s="801" t="e">
        <f>SUM(P158:P174)</f>
        <v>#REF!</v>
      </c>
      <c r="Q175" s="801" t="e">
        <f t="shared" si="21"/>
        <v>#REF!</v>
      </c>
      <c r="R175" s="802" t="e">
        <f t="shared" si="21"/>
        <v>#REF!</v>
      </c>
      <c r="S175" s="801" t="e">
        <f t="shared" si="21"/>
        <v>#REF!</v>
      </c>
      <c r="AB175" s="84">
        <f t="shared" si="18"/>
        <v>0</v>
      </c>
    </row>
    <row r="176" spans="6:28" hidden="1" x14ac:dyDescent="0.25">
      <c r="AB176" s="84">
        <f t="shared" si="18"/>
        <v>0</v>
      </c>
    </row>
    <row r="177" spans="5:28" x14ac:dyDescent="0.25">
      <c r="E177" s="784"/>
      <c r="F177" s="785"/>
      <c r="G177" s="821" t="s">
        <v>4152</v>
      </c>
      <c r="H177" s="822"/>
      <c r="I177" s="822"/>
      <c r="J177" s="823"/>
      <c r="K177" s="822"/>
      <c r="L177" s="824"/>
      <c r="M177" s="824"/>
      <c r="N177" s="825"/>
      <c r="O177" s="824"/>
      <c r="P177" s="824"/>
      <c r="Q177" s="824"/>
      <c r="R177" s="825"/>
      <c r="S177" s="880"/>
      <c r="AB177" s="84">
        <f t="shared" si="18"/>
        <v>0</v>
      </c>
    </row>
    <row r="178" spans="5:28" ht="15.75" thickBot="1" x14ac:dyDescent="0.3">
      <c r="E178" s="791"/>
      <c r="F178" s="792" t="s">
        <v>235</v>
      </c>
      <c r="G178" s="793" t="s">
        <v>236</v>
      </c>
      <c r="H178" s="794">
        <f>H158</f>
        <v>8080033</v>
      </c>
      <c r="I178" s="794" t="e">
        <f>SUM(I158)</f>
        <v>#REF!</v>
      </c>
      <c r="J178" s="795" t="e">
        <f t="shared" ref="J178:S178" si="22">SUM(J158)</f>
        <v>#REF!</v>
      </c>
      <c r="K178" s="794" t="e">
        <f t="shared" si="22"/>
        <v>#REF!</v>
      </c>
      <c r="L178" s="796">
        <f>L118</f>
        <v>0</v>
      </c>
      <c r="M178" s="796" t="e">
        <f t="shared" si="22"/>
        <v>#REF!</v>
      </c>
      <c r="N178" s="797"/>
      <c r="O178" s="796" t="e">
        <f t="shared" si="22"/>
        <v>#REF!</v>
      </c>
      <c r="P178" s="796">
        <f t="shared" ref="P178:P190" si="23">H178+L178</f>
        <v>8080033</v>
      </c>
      <c r="Q178" s="796" t="e">
        <f t="shared" si="22"/>
        <v>#REF!</v>
      </c>
      <c r="R178" s="797" t="e">
        <f t="shared" si="22"/>
        <v>#REF!</v>
      </c>
      <c r="S178" s="796" t="e">
        <f t="shared" si="22"/>
        <v>#REF!</v>
      </c>
      <c r="AB178" s="84">
        <f t="shared" si="18"/>
        <v>0</v>
      </c>
    </row>
    <row r="179" spans="5:28" ht="15.75" hidden="1" thickBot="1" x14ac:dyDescent="0.3">
      <c r="F179" s="792" t="s">
        <v>237</v>
      </c>
      <c r="G179" s="793" t="s">
        <v>238</v>
      </c>
      <c r="P179" s="765">
        <f t="shared" si="23"/>
        <v>0</v>
      </c>
      <c r="S179" s="796">
        <f t="shared" ref="S179:S193" si="24">SUM(H179:L179)</f>
        <v>0</v>
      </c>
      <c r="AB179" s="84">
        <f t="shared" si="18"/>
        <v>0</v>
      </c>
    </row>
    <row r="180" spans="5:28" ht="15.75" hidden="1" thickBot="1" x14ac:dyDescent="0.3">
      <c r="F180" s="792" t="s">
        <v>239</v>
      </c>
      <c r="G180" s="793" t="s">
        <v>240</v>
      </c>
      <c r="P180" s="765">
        <f t="shared" si="23"/>
        <v>0</v>
      </c>
      <c r="S180" s="796">
        <f t="shared" si="24"/>
        <v>0</v>
      </c>
      <c r="AB180" s="84">
        <f t="shared" si="18"/>
        <v>0</v>
      </c>
    </row>
    <row r="181" spans="5:28" ht="15.75" hidden="1" thickBot="1" x14ac:dyDescent="0.3">
      <c r="F181" s="792" t="s">
        <v>241</v>
      </c>
      <c r="G181" s="793" t="s">
        <v>242</v>
      </c>
      <c r="P181" s="765">
        <f t="shared" si="23"/>
        <v>0</v>
      </c>
      <c r="S181" s="796">
        <f t="shared" si="24"/>
        <v>0</v>
      </c>
      <c r="AB181" s="84">
        <f t="shared" si="18"/>
        <v>0</v>
      </c>
    </row>
    <row r="182" spans="5:28" ht="15.75" hidden="1" thickBot="1" x14ac:dyDescent="0.3">
      <c r="F182" s="792" t="s">
        <v>243</v>
      </c>
      <c r="G182" s="793" t="s">
        <v>244</v>
      </c>
      <c r="P182" s="765">
        <f t="shared" si="23"/>
        <v>0</v>
      </c>
      <c r="S182" s="796">
        <f t="shared" si="24"/>
        <v>0</v>
      </c>
      <c r="AB182" s="84">
        <f t="shared" si="18"/>
        <v>0</v>
      </c>
    </row>
    <row r="183" spans="5:28" ht="15.75" hidden="1" thickBot="1" x14ac:dyDescent="0.3">
      <c r="F183" s="792" t="s">
        <v>245</v>
      </c>
      <c r="G183" s="793" t="s">
        <v>246</v>
      </c>
      <c r="P183" s="765">
        <f t="shared" si="23"/>
        <v>0</v>
      </c>
      <c r="S183" s="796">
        <f t="shared" si="24"/>
        <v>0</v>
      </c>
      <c r="AB183" s="84">
        <f t="shared" si="18"/>
        <v>0</v>
      </c>
    </row>
    <row r="184" spans="5:28" ht="15.75" hidden="1" thickBot="1" x14ac:dyDescent="0.3">
      <c r="F184" s="792" t="s">
        <v>247</v>
      </c>
      <c r="G184" s="793" t="s">
        <v>4745</v>
      </c>
      <c r="P184" s="765">
        <f t="shared" si="23"/>
        <v>0</v>
      </c>
      <c r="S184" s="796">
        <f t="shared" si="24"/>
        <v>0</v>
      </c>
      <c r="AB184" s="84">
        <f t="shared" si="18"/>
        <v>0</v>
      </c>
    </row>
    <row r="185" spans="5:28" ht="30.75" hidden="1" thickBot="1" x14ac:dyDescent="0.3">
      <c r="F185" s="792" t="s">
        <v>248</v>
      </c>
      <c r="G185" s="793" t="s">
        <v>4744</v>
      </c>
      <c r="P185" s="765">
        <f t="shared" si="23"/>
        <v>0</v>
      </c>
      <c r="S185" s="796">
        <f t="shared" si="24"/>
        <v>0</v>
      </c>
      <c r="AB185" s="84">
        <f t="shared" si="18"/>
        <v>0</v>
      </c>
    </row>
    <row r="186" spans="5:28" ht="15.75" hidden="1" thickBot="1" x14ac:dyDescent="0.3">
      <c r="F186" s="792" t="s">
        <v>249</v>
      </c>
      <c r="G186" s="793" t="s">
        <v>58</v>
      </c>
      <c r="P186" s="765">
        <f t="shared" si="23"/>
        <v>0</v>
      </c>
      <c r="S186" s="796">
        <f t="shared" si="24"/>
        <v>0</v>
      </c>
      <c r="AB186" s="84">
        <f t="shared" si="18"/>
        <v>0</v>
      </c>
    </row>
    <row r="187" spans="5:28" ht="15.75" hidden="1" thickBot="1" x14ac:dyDescent="0.3">
      <c r="F187" s="792" t="s">
        <v>250</v>
      </c>
      <c r="G187" s="793" t="s">
        <v>251</v>
      </c>
      <c r="P187" s="765">
        <f t="shared" si="23"/>
        <v>0</v>
      </c>
      <c r="S187" s="796">
        <f t="shared" si="24"/>
        <v>0</v>
      </c>
      <c r="AB187" s="84">
        <f t="shared" si="18"/>
        <v>0</v>
      </c>
    </row>
    <row r="188" spans="5:28" ht="15.75" hidden="1" thickBot="1" x14ac:dyDescent="0.3">
      <c r="F188" s="792" t="s">
        <v>252</v>
      </c>
      <c r="G188" s="793" t="s">
        <v>253</v>
      </c>
      <c r="P188" s="765">
        <f t="shared" si="23"/>
        <v>0</v>
      </c>
      <c r="S188" s="796">
        <f t="shared" si="24"/>
        <v>0</v>
      </c>
      <c r="AB188" s="84">
        <f t="shared" si="18"/>
        <v>0</v>
      </c>
    </row>
    <row r="189" spans="5:28" ht="30.75" hidden="1" thickBot="1" x14ac:dyDescent="0.3">
      <c r="F189" s="792" t="s">
        <v>254</v>
      </c>
      <c r="G189" s="793" t="s">
        <v>255</v>
      </c>
      <c r="P189" s="765">
        <f t="shared" si="23"/>
        <v>0</v>
      </c>
      <c r="S189" s="796">
        <f t="shared" si="24"/>
        <v>0</v>
      </c>
      <c r="AB189" s="84">
        <f t="shared" si="18"/>
        <v>0</v>
      </c>
    </row>
    <row r="190" spans="5:28" ht="15.75" hidden="1" thickBot="1" x14ac:dyDescent="0.3">
      <c r="F190" s="792" t="s">
        <v>256</v>
      </c>
      <c r="G190" s="793" t="s">
        <v>257</v>
      </c>
      <c r="L190" s="765">
        <f>L174</f>
        <v>0</v>
      </c>
      <c r="P190" s="765">
        <f t="shared" si="23"/>
        <v>0</v>
      </c>
      <c r="S190" s="796">
        <f t="shared" si="24"/>
        <v>0</v>
      </c>
      <c r="AB190" s="84">
        <f t="shared" si="18"/>
        <v>0</v>
      </c>
    </row>
    <row r="191" spans="5:28" ht="30.75" hidden="1" thickBot="1" x14ac:dyDescent="0.3">
      <c r="F191" s="792" t="s">
        <v>258</v>
      </c>
      <c r="G191" s="793" t="s">
        <v>259</v>
      </c>
      <c r="S191" s="796">
        <f t="shared" si="24"/>
        <v>0</v>
      </c>
      <c r="AB191" s="84">
        <f t="shared" si="18"/>
        <v>0</v>
      </c>
    </row>
    <row r="192" spans="5:28" ht="30.75" hidden="1" thickBot="1" x14ac:dyDescent="0.3">
      <c r="F192" s="792" t="s">
        <v>260</v>
      </c>
      <c r="G192" s="793" t="s">
        <v>261</v>
      </c>
      <c r="S192" s="796">
        <f t="shared" si="24"/>
        <v>0</v>
      </c>
      <c r="AB192" s="84">
        <f t="shared" si="18"/>
        <v>0</v>
      </c>
    </row>
    <row r="193" spans="1:31" ht="15.75" hidden="1" thickBot="1" x14ac:dyDescent="0.3">
      <c r="F193" s="792" t="s">
        <v>262</v>
      </c>
      <c r="G193" s="793" t="s">
        <v>263</v>
      </c>
      <c r="H193" s="794"/>
      <c r="I193" s="794"/>
      <c r="J193" s="795"/>
      <c r="K193" s="794"/>
      <c r="L193" s="796"/>
      <c r="M193" s="796"/>
      <c r="N193" s="797"/>
      <c r="O193" s="796"/>
      <c r="P193" s="796"/>
      <c r="Q193" s="796"/>
      <c r="R193" s="797"/>
      <c r="S193" s="796">
        <f t="shared" si="24"/>
        <v>0</v>
      </c>
      <c r="AB193" s="84">
        <f t="shared" si="18"/>
        <v>0</v>
      </c>
    </row>
    <row r="194" spans="1:31" ht="15.75" thickBot="1" x14ac:dyDescent="0.3">
      <c r="G194" s="798" t="s">
        <v>4156</v>
      </c>
      <c r="H194" s="799">
        <f>SUM(H178:H193)</f>
        <v>8080033</v>
      </c>
      <c r="I194" s="799" t="e">
        <f t="shared" ref="I194:S194" si="25">SUM(I178:I193)</f>
        <v>#REF!</v>
      </c>
      <c r="J194" s="800" t="e">
        <f t="shared" si="25"/>
        <v>#REF!</v>
      </c>
      <c r="K194" s="799" t="e">
        <f t="shared" si="25"/>
        <v>#REF!</v>
      </c>
      <c r="L194" s="801">
        <f t="shared" si="25"/>
        <v>0</v>
      </c>
      <c r="M194" s="801" t="e">
        <f t="shared" si="25"/>
        <v>#REF!</v>
      </c>
      <c r="N194" s="802"/>
      <c r="O194" s="801" t="e">
        <f t="shared" si="25"/>
        <v>#REF!</v>
      </c>
      <c r="P194" s="801">
        <f t="shared" si="25"/>
        <v>8080033</v>
      </c>
      <c r="Q194" s="801" t="e">
        <f t="shared" si="25"/>
        <v>#REF!</v>
      </c>
      <c r="R194" s="802" t="e">
        <f t="shared" si="25"/>
        <v>#REF!</v>
      </c>
      <c r="S194" s="801" t="e">
        <f t="shared" si="25"/>
        <v>#REF!</v>
      </c>
      <c r="AB194" s="203">
        <f t="shared" si="18"/>
        <v>0</v>
      </c>
    </row>
    <row r="195" spans="1:31" hidden="1" x14ac:dyDescent="0.25">
      <c r="AB195" s="84">
        <f t="shared" si="18"/>
        <v>0</v>
      </c>
    </row>
    <row r="196" spans="1:31" x14ac:dyDescent="0.25">
      <c r="AB196" s="84">
        <f t="shared" si="18"/>
        <v>0</v>
      </c>
    </row>
    <row r="197" spans="1:31" ht="28.5" x14ac:dyDescent="0.25">
      <c r="A197" s="859">
        <v>2</v>
      </c>
      <c r="B197" s="860"/>
      <c r="C197" s="861"/>
      <c r="D197" s="862"/>
      <c r="E197" s="863"/>
      <c r="F197" s="862"/>
      <c r="G197" s="936" t="s">
        <v>4762</v>
      </c>
      <c r="H197" s="865"/>
      <c r="I197" s="865"/>
      <c r="J197" s="866"/>
      <c r="K197" s="865"/>
      <c r="L197" s="867"/>
      <c r="M197" s="867"/>
      <c r="N197" s="868"/>
      <c r="O197" s="867"/>
      <c r="P197" s="867"/>
      <c r="Q197" s="867"/>
      <c r="R197" s="868"/>
      <c r="S197" s="867"/>
      <c r="AB197" s="84">
        <f t="shared" ref="AB197:AB260" si="26">Z197-AA197</f>
        <v>0</v>
      </c>
    </row>
    <row r="198" spans="1:31" ht="28.5" x14ac:dyDescent="0.25">
      <c r="C198" s="761" t="s">
        <v>4899</v>
      </c>
      <c r="G198" s="869" t="s">
        <v>4957</v>
      </c>
      <c r="AB198" s="84">
        <f t="shared" si="26"/>
        <v>0</v>
      </c>
    </row>
    <row r="199" spans="1:31" x14ac:dyDescent="0.25">
      <c r="C199" s="761" t="s">
        <v>4903</v>
      </c>
      <c r="D199" s="770"/>
      <c r="G199" s="869" t="s">
        <v>4904</v>
      </c>
      <c r="AB199" s="84">
        <f t="shared" si="26"/>
        <v>0</v>
      </c>
    </row>
    <row r="200" spans="1:31" ht="30" x14ac:dyDescent="0.25">
      <c r="C200" s="761"/>
      <c r="D200" s="778">
        <v>110</v>
      </c>
      <c r="E200" s="779"/>
      <c r="F200" s="778"/>
      <c r="G200" s="780" t="s">
        <v>106</v>
      </c>
      <c r="H200" s="794"/>
      <c r="I200" s="794"/>
      <c r="J200" s="795"/>
      <c r="K200" s="794"/>
      <c r="L200" s="796"/>
      <c r="M200" s="796"/>
      <c r="N200" s="797"/>
      <c r="O200" s="796"/>
      <c r="P200" s="796"/>
      <c r="Q200" s="796"/>
      <c r="R200" s="797"/>
      <c r="S200" s="796"/>
      <c r="AB200" s="84">
        <f t="shared" si="26"/>
        <v>0</v>
      </c>
    </row>
    <row r="201" spans="1:31" x14ac:dyDescent="0.25">
      <c r="E201" s="760" t="s">
        <v>250</v>
      </c>
      <c r="F201" s="782">
        <v>411</v>
      </c>
      <c r="G201" s="783" t="s">
        <v>4114</v>
      </c>
      <c r="H201" s="870">
        <v>2839075</v>
      </c>
      <c r="I201" s="763">
        <f>1868780.4+219802.42</f>
        <v>2088582.8199999998</v>
      </c>
      <c r="J201" s="764">
        <f>I201/H201</f>
        <v>0.73565609221313277</v>
      </c>
      <c r="K201" s="763">
        <f>H201-I201</f>
        <v>750492.18000000017</v>
      </c>
      <c r="L201" s="765">
        <v>0</v>
      </c>
      <c r="M201" s="765">
        <v>0</v>
      </c>
      <c r="O201" s="765">
        <f>L201-M201</f>
        <v>0</v>
      </c>
      <c r="P201" s="765">
        <f>L201+H201</f>
        <v>2839075</v>
      </c>
      <c r="Q201" s="765">
        <f>M201+I201</f>
        <v>2088582.8199999998</v>
      </c>
      <c r="R201" s="766">
        <f>Q201/P201</f>
        <v>0.73565609221313277</v>
      </c>
      <c r="S201" s="765">
        <f>P201-Q201</f>
        <v>750492.18000000017</v>
      </c>
      <c r="Z201" s="830">
        <f t="shared" ref="Z201:Z234" si="27">H201-X201+Y201</f>
        <v>2839075</v>
      </c>
      <c r="AA201" s="831">
        <v>2636632.7599999998</v>
      </c>
      <c r="AB201" s="84">
        <f t="shared" si="26"/>
        <v>202442.24000000022</v>
      </c>
      <c r="AE201" s="84">
        <f t="shared" ref="AE201:AE234" si="28">H201-AA201</f>
        <v>202442.24000000022</v>
      </c>
    </row>
    <row r="202" spans="1:31" x14ac:dyDescent="0.25">
      <c r="E202" s="760" t="s">
        <v>252</v>
      </c>
      <c r="F202" s="782">
        <v>412</v>
      </c>
      <c r="G202" s="783" t="s">
        <v>3768</v>
      </c>
      <c r="H202" s="870">
        <v>487116</v>
      </c>
      <c r="I202" s="763">
        <f>334511.66+39344.63</f>
        <v>373856.29</v>
      </c>
      <c r="J202" s="764">
        <f>I202/H202</f>
        <v>0.76748924280869435</v>
      </c>
      <c r="K202" s="763">
        <f>H202-I202</f>
        <v>113259.71000000002</v>
      </c>
      <c r="L202" s="765">
        <v>0</v>
      </c>
      <c r="M202" s="765">
        <v>0</v>
      </c>
      <c r="O202" s="765">
        <f>L202-M202</f>
        <v>0</v>
      </c>
      <c r="P202" s="765">
        <f>L202+H202</f>
        <v>487116</v>
      </c>
      <c r="Q202" s="765">
        <f>M202+I202</f>
        <v>373856.29</v>
      </c>
      <c r="R202" s="766">
        <f>Q202/P202</f>
        <v>0.76748924280869435</v>
      </c>
      <c r="S202" s="765">
        <f>P202-Q202</f>
        <v>113259.71000000002</v>
      </c>
      <c r="Z202" s="830">
        <f t="shared" si="27"/>
        <v>487116</v>
      </c>
      <c r="AA202" s="831">
        <v>471957.28</v>
      </c>
      <c r="AB202" s="84">
        <f t="shared" si="26"/>
        <v>15158.719999999972</v>
      </c>
      <c r="AE202" s="84">
        <f t="shared" si="28"/>
        <v>15158.719999999972</v>
      </c>
    </row>
    <row r="203" spans="1:31" hidden="1" x14ac:dyDescent="0.25">
      <c r="E203" s="760">
        <v>19</v>
      </c>
      <c r="F203" s="782">
        <v>413</v>
      </c>
      <c r="G203" s="783" t="s">
        <v>4115</v>
      </c>
      <c r="H203" s="870">
        <v>0</v>
      </c>
      <c r="S203" s="765">
        <f>SUM(H203:L203)</f>
        <v>0</v>
      </c>
      <c r="Z203" s="830">
        <f t="shared" si="27"/>
        <v>0</v>
      </c>
      <c r="AA203" s="831">
        <v>0</v>
      </c>
      <c r="AB203" s="84">
        <f t="shared" si="26"/>
        <v>0</v>
      </c>
      <c r="AE203" s="84">
        <f t="shared" si="28"/>
        <v>0</v>
      </c>
    </row>
    <row r="204" spans="1:31" hidden="1" x14ac:dyDescent="0.25">
      <c r="F204" s="782">
        <v>414</v>
      </c>
      <c r="G204" s="783" t="s">
        <v>3771</v>
      </c>
      <c r="H204" s="870">
        <v>0</v>
      </c>
      <c r="I204" s="763">
        <v>0</v>
      </c>
      <c r="J204" s="764">
        <v>0</v>
      </c>
      <c r="K204" s="763">
        <f>H204-I204</f>
        <v>0</v>
      </c>
      <c r="L204" s="765">
        <v>0</v>
      </c>
      <c r="M204" s="765">
        <v>0</v>
      </c>
      <c r="O204" s="765">
        <f t="shared" ref="O204:O236" si="29">L204-M204</f>
        <v>0</v>
      </c>
      <c r="P204" s="765">
        <f t="shared" ref="P204:P236" si="30">L204+H204</f>
        <v>0</v>
      </c>
      <c r="Q204" s="765">
        <f t="shared" ref="Q204:Q236" si="31">M204+I204</f>
        <v>0</v>
      </c>
      <c r="R204" s="766" t="e">
        <f t="shared" ref="R204:R236" si="32">Q204/P204</f>
        <v>#DIV/0!</v>
      </c>
      <c r="S204" s="765">
        <f t="shared" ref="S204:S236" si="33">P204-Q204</f>
        <v>0</v>
      </c>
      <c r="Z204" s="830">
        <f t="shared" si="27"/>
        <v>0</v>
      </c>
      <c r="AA204" s="831">
        <v>0</v>
      </c>
      <c r="AB204" s="84">
        <f t="shared" si="26"/>
        <v>0</v>
      </c>
      <c r="AE204" s="84">
        <f t="shared" si="28"/>
        <v>0</v>
      </c>
    </row>
    <row r="205" spans="1:31" x14ac:dyDescent="0.25">
      <c r="E205" s="875">
        <v>12</v>
      </c>
      <c r="F205" s="782">
        <v>415</v>
      </c>
      <c r="G205" s="783" t="s">
        <v>4124</v>
      </c>
      <c r="H205" s="870">
        <v>152000</v>
      </c>
      <c r="I205" s="763">
        <f>88642.79+11592</f>
        <v>100234.79</v>
      </c>
      <c r="J205" s="764">
        <f t="shared" ref="J205:J234" si="34">I205/H205</f>
        <v>0.65943940789473676</v>
      </c>
      <c r="K205" s="763">
        <f t="shared" ref="K205:K236" si="35">H205-I205</f>
        <v>51765.210000000006</v>
      </c>
      <c r="L205" s="765">
        <v>0</v>
      </c>
      <c r="M205" s="765">
        <v>0</v>
      </c>
      <c r="O205" s="765">
        <f t="shared" si="29"/>
        <v>0</v>
      </c>
      <c r="P205" s="765">
        <f t="shared" si="30"/>
        <v>152000</v>
      </c>
      <c r="Q205" s="765">
        <f t="shared" si="31"/>
        <v>100234.79</v>
      </c>
      <c r="R205" s="766">
        <f t="shared" si="32"/>
        <v>0.65943940789473676</v>
      </c>
      <c r="S205" s="765">
        <f t="shared" si="33"/>
        <v>51765.210000000006</v>
      </c>
      <c r="Y205" s="834">
        <v>2000</v>
      </c>
      <c r="Z205" s="830">
        <f t="shared" si="27"/>
        <v>154000</v>
      </c>
      <c r="AA205" s="831">
        <v>144374.29999999999</v>
      </c>
      <c r="AB205" s="84">
        <f t="shared" si="26"/>
        <v>9625.7000000000116</v>
      </c>
      <c r="AE205" s="84">
        <f t="shared" si="28"/>
        <v>7625.7000000000116</v>
      </c>
    </row>
    <row r="206" spans="1:31" hidden="1" x14ac:dyDescent="0.25">
      <c r="E206" s="760">
        <v>22</v>
      </c>
      <c r="F206" s="782">
        <v>416</v>
      </c>
      <c r="G206" s="783" t="s">
        <v>4125</v>
      </c>
      <c r="H206" s="870">
        <v>0</v>
      </c>
      <c r="J206" s="764" t="e">
        <f t="shared" si="34"/>
        <v>#DIV/0!</v>
      </c>
      <c r="K206" s="763">
        <f t="shared" si="35"/>
        <v>0</v>
      </c>
      <c r="O206" s="765">
        <f t="shared" si="29"/>
        <v>0</v>
      </c>
      <c r="P206" s="765">
        <f t="shared" si="30"/>
        <v>0</v>
      </c>
      <c r="Q206" s="765">
        <f t="shared" si="31"/>
        <v>0</v>
      </c>
      <c r="R206" s="766" t="e">
        <f t="shared" si="32"/>
        <v>#DIV/0!</v>
      </c>
      <c r="S206" s="765">
        <f t="shared" si="33"/>
        <v>0</v>
      </c>
      <c r="Z206" s="830">
        <f t="shared" si="27"/>
        <v>0</v>
      </c>
      <c r="AA206" s="831">
        <v>0</v>
      </c>
      <c r="AB206" s="84">
        <f t="shared" si="26"/>
        <v>0</v>
      </c>
      <c r="AE206" s="84">
        <f t="shared" si="28"/>
        <v>0</v>
      </c>
    </row>
    <row r="207" spans="1:31" hidden="1" x14ac:dyDescent="0.25">
      <c r="E207" s="760">
        <v>23</v>
      </c>
      <c r="F207" s="782">
        <v>417</v>
      </c>
      <c r="G207" s="783" t="s">
        <v>4126</v>
      </c>
      <c r="H207" s="870">
        <v>0</v>
      </c>
      <c r="J207" s="764" t="e">
        <f t="shared" si="34"/>
        <v>#DIV/0!</v>
      </c>
      <c r="K207" s="763">
        <f t="shared" si="35"/>
        <v>0</v>
      </c>
      <c r="O207" s="765">
        <f t="shared" si="29"/>
        <v>0</v>
      </c>
      <c r="P207" s="765">
        <f t="shared" si="30"/>
        <v>0</v>
      </c>
      <c r="Q207" s="765">
        <f t="shared" si="31"/>
        <v>0</v>
      </c>
      <c r="R207" s="766" t="e">
        <f t="shared" si="32"/>
        <v>#DIV/0!</v>
      </c>
      <c r="S207" s="765">
        <f t="shared" si="33"/>
        <v>0</v>
      </c>
      <c r="Z207" s="830">
        <f t="shared" si="27"/>
        <v>0</v>
      </c>
      <c r="AA207" s="831">
        <v>0</v>
      </c>
      <c r="AB207" s="84">
        <f t="shared" si="26"/>
        <v>0</v>
      </c>
      <c r="AE207" s="84">
        <f t="shared" si="28"/>
        <v>0</v>
      </c>
    </row>
    <row r="208" spans="1:31" hidden="1" x14ac:dyDescent="0.25">
      <c r="E208" s="760">
        <v>24</v>
      </c>
      <c r="F208" s="782">
        <v>418</v>
      </c>
      <c r="G208" s="783" t="s">
        <v>3777</v>
      </c>
      <c r="H208" s="870">
        <v>0</v>
      </c>
      <c r="J208" s="764" t="e">
        <f t="shared" si="34"/>
        <v>#DIV/0!</v>
      </c>
      <c r="K208" s="763">
        <f t="shared" si="35"/>
        <v>0</v>
      </c>
      <c r="O208" s="765">
        <f t="shared" si="29"/>
        <v>0</v>
      </c>
      <c r="P208" s="765">
        <f t="shared" si="30"/>
        <v>0</v>
      </c>
      <c r="Q208" s="765">
        <f t="shared" si="31"/>
        <v>0</v>
      </c>
      <c r="R208" s="766" t="e">
        <f t="shared" si="32"/>
        <v>#DIV/0!</v>
      </c>
      <c r="S208" s="765">
        <f t="shared" si="33"/>
        <v>0</v>
      </c>
      <c r="Z208" s="830">
        <f t="shared" si="27"/>
        <v>0</v>
      </c>
      <c r="AA208" s="831">
        <v>0</v>
      </c>
      <c r="AB208" s="84">
        <f t="shared" si="26"/>
        <v>0</v>
      </c>
      <c r="AE208" s="84">
        <f t="shared" si="28"/>
        <v>0</v>
      </c>
    </row>
    <row r="209" spans="5:31" x14ac:dyDescent="0.25">
      <c r="E209" s="875">
        <v>13</v>
      </c>
      <c r="F209" s="782">
        <v>421</v>
      </c>
      <c r="G209" s="783" t="s">
        <v>3781</v>
      </c>
      <c r="H209" s="870">
        <v>5000</v>
      </c>
      <c r="I209" s="763">
        <v>0</v>
      </c>
      <c r="J209" s="764">
        <f t="shared" si="34"/>
        <v>0</v>
      </c>
      <c r="K209" s="763">
        <f t="shared" si="35"/>
        <v>5000</v>
      </c>
      <c r="L209" s="765">
        <v>0</v>
      </c>
      <c r="M209" s="765">
        <v>0</v>
      </c>
      <c r="O209" s="765">
        <f t="shared" si="29"/>
        <v>0</v>
      </c>
      <c r="P209" s="765">
        <f t="shared" si="30"/>
        <v>5000</v>
      </c>
      <c r="Q209" s="765">
        <f t="shared" si="31"/>
        <v>0</v>
      </c>
      <c r="R209" s="766">
        <f t="shared" si="32"/>
        <v>0</v>
      </c>
      <c r="S209" s="765">
        <f t="shared" si="33"/>
        <v>5000</v>
      </c>
      <c r="Z209" s="830">
        <f t="shared" si="27"/>
        <v>5000</v>
      </c>
      <c r="AA209" s="831">
        <v>1000</v>
      </c>
      <c r="AB209" s="84">
        <f t="shared" si="26"/>
        <v>4000</v>
      </c>
      <c r="AE209" s="84">
        <f t="shared" si="28"/>
        <v>4000</v>
      </c>
    </row>
    <row r="210" spans="5:31" x14ac:dyDescent="0.25">
      <c r="E210" s="875">
        <v>14</v>
      </c>
      <c r="F210" s="782">
        <v>422</v>
      </c>
      <c r="G210" s="783" t="s">
        <v>3782</v>
      </c>
      <c r="H210" s="870">
        <v>100000</v>
      </c>
      <c r="I210" s="763">
        <v>2840.21</v>
      </c>
      <c r="J210" s="764">
        <f t="shared" si="34"/>
        <v>2.84021E-2</v>
      </c>
      <c r="K210" s="763">
        <f t="shared" si="35"/>
        <v>97159.79</v>
      </c>
      <c r="L210" s="765">
        <v>0</v>
      </c>
      <c r="M210" s="765">
        <v>0</v>
      </c>
      <c r="O210" s="765">
        <f t="shared" si="29"/>
        <v>0</v>
      </c>
      <c r="P210" s="765">
        <f t="shared" si="30"/>
        <v>100000</v>
      </c>
      <c r="Q210" s="765">
        <f t="shared" si="31"/>
        <v>2840.21</v>
      </c>
      <c r="R210" s="766">
        <f t="shared" si="32"/>
        <v>2.84021E-2</v>
      </c>
      <c r="S210" s="765">
        <f t="shared" si="33"/>
        <v>97159.79</v>
      </c>
      <c r="Y210" s="834">
        <v>245000</v>
      </c>
      <c r="Z210" s="830">
        <f t="shared" si="27"/>
        <v>345000</v>
      </c>
      <c r="AA210" s="831">
        <v>60000</v>
      </c>
      <c r="AB210" s="84">
        <f t="shared" si="26"/>
        <v>285000</v>
      </c>
      <c r="AE210" s="84">
        <f t="shared" si="28"/>
        <v>40000</v>
      </c>
    </row>
    <row r="211" spans="5:31" x14ac:dyDescent="0.25">
      <c r="E211" s="875">
        <v>15</v>
      </c>
      <c r="F211" s="782">
        <v>423</v>
      </c>
      <c r="G211" s="783" t="s">
        <v>3783</v>
      </c>
      <c r="H211" s="870">
        <v>2737915</v>
      </c>
      <c r="I211" s="763">
        <f>1393587.55+120513.33</f>
        <v>1514100.8800000001</v>
      </c>
      <c r="J211" s="764">
        <f t="shared" si="34"/>
        <v>0.55301237620598165</v>
      </c>
      <c r="K211" s="763">
        <f t="shared" si="35"/>
        <v>1223814.1199999999</v>
      </c>
      <c r="L211" s="765">
        <v>0</v>
      </c>
      <c r="M211" s="765">
        <v>0</v>
      </c>
      <c r="O211" s="765">
        <f t="shared" si="29"/>
        <v>0</v>
      </c>
      <c r="P211" s="765">
        <f t="shared" si="30"/>
        <v>2737915</v>
      </c>
      <c r="Q211" s="765">
        <f t="shared" si="31"/>
        <v>1514100.8800000001</v>
      </c>
      <c r="R211" s="766">
        <f t="shared" si="32"/>
        <v>0.55301237620598165</v>
      </c>
      <c r="S211" s="765">
        <f t="shared" si="33"/>
        <v>1223814.1199999999</v>
      </c>
      <c r="T211" s="937"/>
      <c r="Z211" s="830">
        <f t="shared" si="27"/>
        <v>2737915</v>
      </c>
      <c r="AA211" s="831">
        <v>2288435.4700000002</v>
      </c>
      <c r="AB211" s="84">
        <f t="shared" si="26"/>
        <v>449479.5299999998</v>
      </c>
      <c r="AE211" s="84">
        <f t="shared" si="28"/>
        <v>449479.5299999998</v>
      </c>
    </row>
    <row r="212" spans="5:31" hidden="1" x14ac:dyDescent="0.25">
      <c r="E212" s="760">
        <v>28</v>
      </c>
      <c r="F212" s="782">
        <v>424</v>
      </c>
      <c r="G212" s="783" t="s">
        <v>3785</v>
      </c>
      <c r="H212" s="870">
        <v>0</v>
      </c>
      <c r="J212" s="764" t="e">
        <f t="shared" si="34"/>
        <v>#DIV/0!</v>
      </c>
      <c r="K212" s="763">
        <f t="shared" si="35"/>
        <v>0</v>
      </c>
      <c r="L212" s="765">
        <v>0</v>
      </c>
      <c r="M212" s="765">
        <v>0</v>
      </c>
      <c r="O212" s="765">
        <f t="shared" si="29"/>
        <v>0</v>
      </c>
      <c r="P212" s="765">
        <f t="shared" si="30"/>
        <v>0</v>
      </c>
      <c r="Q212" s="765">
        <f t="shared" si="31"/>
        <v>0</v>
      </c>
      <c r="R212" s="766" t="e">
        <f t="shared" si="32"/>
        <v>#DIV/0!</v>
      </c>
      <c r="S212" s="765">
        <f t="shared" si="33"/>
        <v>0</v>
      </c>
      <c r="Z212" s="830">
        <f t="shared" si="27"/>
        <v>0</v>
      </c>
      <c r="AA212" s="831">
        <v>0</v>
      </c>
      <c r="AB212" s="84">
        <f t="shared" si="26"/>
        <v>0</v>
      </c>
      <c r="AE212" s="84">
        <f t="shared" si="28"/>
        <v>0</v>
      </c>
    </row>
    <row r="213" spans="5:31" hidden="1" x14ac:dyDescent="0.25">
      <c r="E213" s="760">
        <v>29</v>
      </c>
      <c r="F213" s="782">
        <v>425</v>
      </c>
      <c r="G213" s="783" t="s">
        <v>4127</v>
      </c>
      <c r="H213" s="870">
        <v>0</v>
      </c>
      <c r="J213" s="764" t="e">
        <f t="shared" si="34"/>
        <v>#DIV/0!</v>
      </c>
      <c r="K213" s="763">
        <f t="shared" si="35"/>
        <v>0</v>
      </c>
      <c r="L213" s="765">
        <v>0</v>
      </c>
      <c r="M213" s="765">
        <v>0</v>
      </c>
      <c r="O213" s="765">
        <f t="shared" si="29"/>
        <v>0</v>
      </c>
      <c r="P213" s="765">
        <f t="shared" si="30"/>
        <v>0</v>
      </c>
      <c r="Q213" s="765">
        <f t="shared" si="31"/>
        <v>0</v>
      </c>
      <c r="R213" s="766" t="e">
        <f t="shared" si="32"/>
        <v>#DIV/0!</v>
      </c>
      <c r="S213" s="765">
        <f t="shared" si="33"/>
        <v>0</v>
      </c>
      <c r="Z213" s="830">
        <f t="shared" si="27"/>
        <v>0</v>
      </c>
      <c r="AA213" s="831">
        <v>0</v>
      </c>
      <c r="AB213" s="84">
        <f t="shared" si="26"/>
        <v>0</v>
      </c>
      <c r="AE213" s="84">
        <f t="shared" si="28"/>
        <v>0</v>
      </c>
    </row>
    <row r="214" spans="5:31" x14ac:dyDescent="0.25">
      <c r="E214" s="875">
        <v>16</v>
      </c>
      <c r="F214" s="782">
        <v>426</v>
      </c>
      <c r="G214" s="783" t="s">
        <v>3789</v>
      </c>
      <c r="H214" s="870">
        <v>228000</v>
      </c>
      <c r="I214" s="763">
        <v>381813.87</v>
      </c>
      <c r="J214" s="764">
        <f t="shared" si="34"/>
        <v>1.6746222368421053</v>
      </c>
      <c r="K214" s="763">
        <f t="shared" si="35"/>
        <v>-153813.87</v>
      </c>
      <c r="L214" s="765">
        <v>0</v>
      </c>
      <c r="M214" s="765">
        <v>0</v>
      </c>
      <c r="O214" s="765">
        <f t="shared" si="29"/>
        <v>0</v>
      </c>
      <c r="P214" s="765">
        <f t="shared" si="30"/>
        <v>228000</v>
      </c>
      <c r="Q214" s="765">
        <f t="shared" si="31"/>
        <v>381813.87</v>
      </c>
      <c r="R214" s="766">
        <f t="shared" si="32"/>
        <v>1.6746222368421053</v>
      </c>
      <c r="S214" s="765">
        <f t="shared" si="33"/>
        <v>-153813.87</v>
      </c>
      <c r="Z214" s="830">
        <f t="shared" si="27"/>
        <v>228000</v>
      </c>
      <c r="AA214" s="831">
        <v>549953</v>
      </c>
      <c r="AB214" s="84">
        <f t="shared" si="26"/>
        <v>-321953</v>
      </c>
      <c r="AE214" s="84">
        <f t="shared" si="28"/>
        <v>-321953</v>
      </c>
    </row>
    <row r="215" spans="5:31" hidden="1" x14ac:dyDescent="0.25">
      <c r="E215" s="760">
        <v>31</v>
      </c>
      <c r="F215" s="782">
        <v>431</v>
      </c>
      <c r="G215" s="783" t="s">
        <v>4128</v>
      </c>
      <c r="H215" s="870">
        <v>0</v>
      </c>
      <c r="J215" s="764" t="e">
        <f t="shared" si="34"/>
        <v>#DIV/0!</v>
      </c>
      <c r="K215" s="763">
        <f t="shared" si="35"/>
        <v>0</v>
      </c>
      <c r="L215" s="765">
        <v>0</v>
      </c>
      <c r="M215" s="765">
        <v>0</v>
      </c>
      <c r="O215" s="765">
        <f t="shared" si="29"/>
        <v>0</v>
      </c>
      <c r="P215" s="765">
        <f t="shared" si="30"/>
        <v>0</v>
      </c>
      <c r="Q215" s="765">
        <f t="shared" si="31"/>
        <v>0</v>
      </c>
      <c r="R215" s="766" t="e">
        <f t="shared" si="32"/>
        <v>#DIV/0!</v>
      </c>
      <c r="S215" s="765">
        <f t="shared" si="33"/>
        <v>0</v>
      </c>
      <c r="Z215" s="830">
        <f t="shared" si="27"/>
        <v>0</v>
      </c>
      <c r="AA215" s="831">
        <v>0</v>
      </c>
      <c r="AB215" s="84">
        <f t="shared" si="26"/>
        <v>0</v>
      </c>
      <c r="AE215" s="84">
        <f t="shared" si="28"/>
        <v>0</v>
      </c>
    </row>
    <row r="216" spans="5:31" hidden="1" x14ac:dyDescent="0.25">
      <c r="E216" s="760">
        <v>32</v>
      </c>
      <c r="F216" s="782">
        <v>432</v>
      </c>
      <c r="G216" s="783" t="s">
        <v>4129</v>
      </c>
      <c r="H216" s="870">
        <v>0</v>
      </c>
      <c r="J216" s="764" t="e">
        <f t="shared" si="34"/>
        <v>#DIV/0!</v>
      </c>
      <c r="K216" s="763">
        <f t="shared" si="35"/>
        <v>0</v>
      </c>
      <c r="L216" s="765">
        <v>0</v>
      </c>
      <c r="M216" s="765">
        <v>0</v>
      </c>
      <c r="O216" s="765">
        <f t="shared" si="29"/>
        <v>0</v>
      </c>
      <c r="P216" s="765">
        <f t="shared" si="30"/>
        <v>0</v>
      </c>
      <c r="Q216" s="765">
        <f t="shared" si="31"/>
        <v>0</v>
      </c>
      <c r="R216" s="766" t="e">
        <f t="shared" si="32"/>
        <v>#DIV/0!</v>
      </c>
      <c r="S216" s="765">
        <f t="shared" si="33"/>
        <v>0</v>
      </c>
      <c r="Z216" s="830">
        <f t="shared" si="27"/>
        <v>0</v>
      </c>
      <c r="AA216" s="831">
        <v>0</v>
      </c>
      <c r="AB216" s="84">
        <f t="shared" si="26"/>
        <v>0</v>
      </c>
      <c r="AE216" s="84">
        <f t="shared" si="28"/>
        <v>0</v>
      </c>
    </row>
    <row r="217" spans="5:31" hidden="1" x14ac:dyDescent="0.25">
      <c r="E217" s="760">
        <v>33</v>
      </c>
      <c r="F217" s="782">
        <v>433</v>
      </c>
      <c r="G217" s="783" t="s">
        <v>4130</v>
      </c>
      <c r="H217" s="870">
        <v>0</v>
      </c>
      <c r="J217" s="764" t="e">
        <f t="shared" si="34"/>
        <v>#DIV/0!</v>
      </c>
      <c r="K217" s="763">
        <f t="shared" si="35"/>
        <v>0</v>
      </c>
      <c r="L217" s="765">
        <v>0</v>
      </c>
      <c r="M217" s="765">
        <v>0</v>
      </c>
      <c r="O217" s="765">
        <f t="shared" si="29"/>
        <v>0</v>
      </c>
      <c r="P217" s="765">
        <f t="shared" si="30"/>
        <v>0</v>
      </c>
      <c r="Q217" s="765">
        <f t="shared" si="31"/>
        <v>0</v>
      </c>
      <c r="R217" s="766" t="e">
        <f t="shared" si="32"/>
        <v>#DIV/0!</v>
      </c>
      <c r="S217" s="765">
        <f t="shared" si="33"/>
        <v>0</v>
      </c>
      <c r="Z217" s="830">
        <f t="shared" si="27"/>
        <v>0</v>
      </c>
      <c r="AA217" s="831">
        <v>0</v>
      </c>
      <c r="AB217" s="84">
        <f t="shared" si="26"/>
        <v>0</v>
      </c>
      <c r="AE217" s="84">
        <f t="shared" si="28"/>
        <v>0</v>
      </c>
    </row>
    <row r="218" spans="5:31" hidden="1" x14ac:dyDescent="0.25">
      <c r="E218" s="760">
        <v>34</v>
      </c>
      <c r="F218" s="782">
        <v>434</v>
      </c>
      <c r="G218" s="783" t="s">
        <v>4131</v>
      </c>
      <c r="H218" s="870">
        <v>0</v>
      </c>
      <c r="J218" s="764" t="e">
        <f t="shared" si="34"/>
        <v>#DIV/0!</v>
      </c>
      <c r="K218" s="763">
        <f t="shared" si="35"/>
        <v>0</v>
      </c>
      <c r="L218" s="765">
        <v>0</v>
      </c>
      <c r="M218" s="765">
        <v>0</v>
      </c>
      <c r="O218" s="765">
        <f t="shared" si="29"/>
        <v>0</v>
      </c>
      <c r="P218" s="765">
        <f t="shared" si="30"/>
        <v>0</v>
      </c>
      <c r="Q218" s="765">
        <f t="shared" si="31"/>
        <v>0</v>
      </c>
      <c r="R218" s="766" t="e">
        <f t="shared" si="32"/>
        <v>#DIV/0!</v>
      </c>
      <c r="S218" s="765">
        <f t="shared" si="33"/>
        <v>0</v>
      </c>
      <c r="Z218" s="830">
        <f t="shared" si="27"/>
        <v>0</v>
      </c>
      <c r="AA218" s="831">
        <v>0</v>
      </c>
      <c r="AB218" s="84">
        <f t="shared" si="26"/>
        <v>0</v>
      </c>
      <c r="AE218" s="84">
        <f t="shared" si="28"/>
        <v>0</v>
      </c>
    </row>
    <row r="219" spans="5:31" hidden="1" x14ac:dyDescent="0.25">
      <c r="E219" s="760">
        <v>35</v>
      </c>
      <c r="F219" s="782">
        <v>435</v>
      </c>
      <c r="G219" s="783" t="s">
        <v>3796</v>
      </c>
      <c r="H219" s="870">
        <v>0</v>
      </c>
      <c r="J219" s="764" t="e">
        <f t="shared" si="34"/>
        <v>#DIV/0!</v>
      </c>
      <c r="K219" s="763">
        <f t="shared" si="35"/>
        <v>0</v>
      </c>
      <c r="L219" s="765">
        <v>0</v>
      </c>
      <c r="M219" s="765">
        <v>0</v>
      </c>
      <c r="O219" s="765">
        <f t="shared" si="29"/>
        <v>0</v>
      </c>
      <c r="P219" s="765">
        <f t="shared" si="30"/>
        <v>0</v>
      </c>
      <c r="Q219" s="765">
        <f t="shared" si="31"/>
        <v>0</v>
      </c>
      <c r="R219" s="766" t="e">
        <f t="shared" si="32"/>
        <v>#DIV/0!</v>
      </c>
      <c r="S219" s="765">
        <f t="shared" si="33"/>
        <v>0</v>
      </c>
      <c r="Z219" s="830">
        <f t="shared" si="27"/>
        <v>0</v>
      </c>
      <c r="AA219" s="831">
        <v>0</v>
      </c>
      <c r="AB219" s="84">
        <f t="shared" si="26"/>
        <v>0</v>
      </c>
      <c r="AE219" s="84">
        <f t="shared" si="28"/>
        <v>0</v>
      </c>
    </row>
    <row r="220" spans="5:31" hidden="1" x14ac:dyDescent="0.25">
      <c r="E220" s="760">
        <v>36</v>
      </c>
      <c r="F220" s="782">
        <v>441</v>
      </c>
      <c r="G220" s="783" t="s">
        <v>4132</v>
      </c>
      <c r="H220" s="870">
        <v>0</v>
      </c>
      <c r="J220" s="764" t="e">
        <f t="shared" si="34"/>
        <v>#DIV/0!</v>
      </c>
      <c r="K220" s="763">
        <f t="shared" si="35"/>
        <v>0</v>
      </c>
      <c r="L220" s="765">
        <v>0</v>
      </c>
      <c r="M220" s="765">
        <v>0</v>
      </c>
      <c r="O220" s="765">
        <f t="shared" si="29"/>
        <v>0</v>
      </c>
      <c r="P220" s="765">
        <f t="shared" si="30"/>
        <v>0</v>
      </c>
      <c r="Q220" s="765">
        <f t="shared" si="31"/>
        <v>0</v>
      </c>
      <c r="R220" s="766" t="e">
        <f t="shared" si="32"/>
        <v>#DIV/0!</v>
      </c>
      <c r="S220" s="765">
        <f t="shared" si="33"/>
        <v>0</v>
      </c>
      <c r="Z220" s="830">
        <f t="shared" si="27"/>
        <v>0</v>
      </c>
      <c r="AA220" s="831">
        <v>0</v>
      </c>
      <c r="AB220" s="84">
        <f t="shared" si="26"/>
        <v>0</v>
      </c>
      <c r="AE220" s="84">
        <f t="shared" si="28"/>
        <v>0</v>
      </c>
    </row>
    <row r="221" spans="5:31" hidden="1" x14ac:dyDescent="0.25">
      <c r="E221" s="760">
        <v>37</v>
      </c>
      <c r="F221" s="782">
        <v>442</v>
      </c>
      <c r="G221" s="783" t="s">
        <v>4133</v>
      </c>
      <c r="H221" s="870">
        <v>0</v>
      </c>
      <c r="J221" s="764" t="e">
        <f t="shared" si="34"/>
        <v>#DIV/0!</v>
      </c>
      <c r="K221" s="763">
        <f t="shared" si="35"/>
        <v>0</v>
      </c>
      <c r="L221" s="765">
        <v>0</v>
      </c>
      <c r="M221" s="765">
        <v>0</v>
      </c>
      <c r="O221" s="765">
        <f t="shared" si="29"/>
        <v>0</v>
      </c>
      <c r="P221" s="765">
        <f t="shared" si="30"/>
        <v>0</v>
      </c>
      <c r="Q221" s="765">
        <f t="shared" si="31"/>
        <v>0</v>
      </c>
      <c r="R221" s="766" t="e">
        <f t="shared" si="32"/>
        <v>#DIV/0!</v>
      </c>
      <c r="S221" s="765">
        <f t="shared" si="33"/>
        <v>0</v>
      </c>
      <c r="Z221" s="830">
        <f t="shared" si="27"/>
        <v>0</v>
      </c>
      <c r="AA221" s="831">
        <v>0</v>
      </c>
      <c r="AB221" s="84">
        <f t="shared" si="26"/>
        <v>0</v>
      </c>
      <c r="AE221" s="84">
        <f t="shared" si="28"/>
        <v>0</v>
      </c>
    </row>
    <row r="222" spans="5:31" hidden="1" x14ac:dyDescent="0.25">
      <c r="E222" s="760">
        <v>38</v>
      </c>
      <c r="F222" s="782">
        <v>443</v>
      </c>
      <c r="G222" s="783" t="s">
        <v>3801</v>
      </c>
      <c r="H222" s="870">
        <v>0</v>
      </c>
      <c r="J222" s="764" t="e">
        <f t="shared" si="34"/>
        <v>#DIV/0!</v>
      </c>
      <c r="K222" s="763">
        <f t="shared" si="35"/>
        <v>0</v>
      </c>
      <c r="L222" s="765">
        <v>0</v>
      </c>
      <c r="M222" s="765">
        <v>0</v>
      </c>
      <c r="O222" s="765">
        <f t="shared" si="29"/>
        <v>0</v>
      </c>
      <c r="P222" s="765">
        <f t="shared" si="30"/>
        <v>0</v>
      </c>
      <c r="Q222" s="765">
        <f t="shared" si="31"/>
        <v>0</v>
      </c>
      <c r="R222" s="766" t="e">
        <f t="shared" si="32"/>
        <v>#DIV/0!</v>
      </c>
      <c r="S222" s="765">
        <f t="shared" si="33"/>
        <v>0</v>
      </c>
      <c r="Z222" s="830">
        <f t="shared" si="27"/>
        <v>0</v>
      </c>
      <c r="AA222" s="831">
        <v>0</v>
      </c>
      <c r="AB222" s="84">
        <f t="shared" si="26"/>
        <v>0</v>
      </c>
      <c r="AE222" s="84">
        <f t="shared" si="28"/>
        <v>0</v>
      </c>
    </row>
    <row r="223" spans="5:31" hidden="1" x14ac:dyDescent="0.25">
      <c r="E223" s="760">
        <v>39</v>
      </c>
      <c r="F223" s="782">
        <v>444</v>
      </c>
      <c r="G223" s="783" t="s">
        <v>3802</v>
      </c>
      <c r="H223" s="870">
        <v>0</v>
      </c>
      <c r="J223" s="764" t="e">
        <f t="shared" si="34"/>
        <v>#DIV/0!</v>
      </c>
      <c r="K223" s="763">
        <f t="shared" si="35"/>
        <v>0</v>
      </c>
      <c r="L223" s="765">
        <v>0</v>
      </c>
      <c r="M223" s="765">
        <v>0</v>
      </c>
      <c r="O223" s="765">
        <f t="shared" si="29"/>
        <v>0</v>
      </c>
      <c r="P223" s="765">
        <f t="shared" si="30"/>
        <v>0</v>
      </c>
      <c r="Q223" s="765">
        <f t="shared" si="31"/>
        <v>0</v>
      </c>
      <c r="R223" s="766" t="e">
        <f t="shared" si="32"/>
        <v>#DIV/0!</v>
      </c>
      <c r="S223" s="765">
        <f t="shared" si="33"/>
        <v>0</v>
      </c>
      <c r="Z223" s="830">
        <f t="shared" si="27"/>
        <v>0</v>
      </c>
      <c r="AA223" s="831">
        <v>0</v>
      </c>
      <c r="AB223" s="84">
        <f t="shared" si="26"/>
        <v>0</v>
      </c>
      <c r="AE223" s="84">
        <f t="shared" si="28"/>
        <v>0</v>
      </c>
    </row>
    <row r="224" spans="5:31" ht="30" hidden="1" x14ac:dyDescent="0.25">
      <c r="E224" s="760">
        <v>40</v>
      </c>
      <c r="F224" s="782">
        <v>4511</v>
      </c>
      <c r="G224" s="874" t="s">
        <v>1691</v>
      </c>
      <c r="H224" s="870">
        <v>0</v>
      </c>
      <c r="J224" s="764" t="e">
        <f t="shared" si="34"/>
        <v>#DIV/0!</v>
      </c>
      <c r="K224" s="763">
        <f t="shared" si="35"/>
        <v>0</v>
      </c>
      <c r="L224" s="765">
        <v>0</v>
      </c>
      <c r="M224" s="765">
        <v>0</v>
      </c>
      <c r="O224" s="765">
        <f t="shared" si="29"/>
        <v>0</v>
      </c>
      <c r="P224" s="765">
        <f t="shared" si="30"/>
        <v>0</v>
      </c>
      <c r="Q224" s="765">
        <f t="shared" si="31"/>
        <v>0</v>
      </c>
      <c r="R224" s="766" t="e">
        <f t="shared" si="32"/>
        <v>#DIV/0!</v>
      </c>
      <c r="S224" s="765">
        <f t="shared" si="33"/>
        <v>0</v>
      </c>
      <c r="Z224" s="830">
        <f t="shared" si="27"/>
        <v>0</v>
      </c>
      <c r="AA224" s="831">
        <v>0</v>
      </c>
      <c r="AB224" s="84">
        <f t="shared" si="26"/>
        <v>0</v>
      </c>
      <c r="AE224" s="84">
        <f t="shared" si="28"/>
        <v>0</v>
      </c>
    </row>
    <row r="225" spans="5:31" ht="30" hidden="1" x14ac:dyDescent="0.25">
      <c r="E225" s="760">
        <v>41</v>
      </c>
      <c r="F225" s="782">
        <v>4512</v>
      </c>
      <c r="G225" s="874" t="s">
        <v>1700</v>
      </c>
      <c r="H225" s="870">
        <v>0</v>
      </c>
      <c r="J225" s="764" t="e">
        <f t="shared" si="34"/>
        <v>#DIV/0!</v>
      </c>
      <c r="K225" s="763">
        <f t="shared" si="35"/>
        <v>0</v>
      </c>
      <c r="L225" s="765">
        <v>0</v>
      </c>
      <c r="M225" s="765">
        <v>0</v>
      </c>
      <c r="O225" s="765">
        <f t="shared" si="29"/>
        <v>0</v>
      </c>
      <c r="P225" s="765">
        <f t="shared" si="30"/>
        <v>0</v>
      </c>
      <c r="Q225" s="765">
        <f t="shared" si="31"/>
        <v>0</v>
      </c>
      <c r="R225" s="766" t="e">
        <f t="shared" si="32"/>
        <v>#DIV/0!</v>
      </c>
      <c r="S225" s="765">
        <f t="shared" si="33"/>
        <v>0</v>
      </c>
      <c r="Z225" s="830">
        <f t="shared" si="27"/>
        <v>0</v>
      </c>
      <c r="AA225" s="831">
        <v>0</v>
      </c>
      <c r="AB225" s="84">
        <f t="shared" si="26"/>
        <v>0</v>
      </c>
      <c r="AE225" s="84">
        <f t="shared" si="28"/>
        <v>0</v>
      </c>
    </row>
    <row r="226" spans="5:31" ht="30" hidden="1" x14ac:dyDescent="0.25">
      <c r="E226" s="760">
        <v>42</v>
      </c>
      <c r="F226" s="782">
        <v>452</v>
      </c>
      <c r="G226" s="783" t="s">
        <v>4134</v>
      </c>
      <c r="H226" s="870">
        <v>0</v>
      </c>
      <c r="J226" s="764" t="e">
        <f t="shared" si="34"/>
        <v>#DIV/0!</v>
      </c>
      <c r="K226" s="763">
        <f t="shared" si="35"/>
        <v>0</v>
      </c>
      <c r="L226" s="765">
        <v>0</v>
      </c>
      <c r="M226" s="765">
        <v>0</v>
      </c>
      <c r="O226" s="765">
        <f t="shared" si="29"/>
        <v>0</v>
      </c>
      <c r="P226" s="765">
        <f t="shared" si="30"/>
        <v>0</v>
      </c>
      <c r="Q226" s="765">
        <f t="shared" si="31"/>
        <v>0</v>
      </c>
      <c r="R226" s="766" t="e">
        <f t="shared" si="32"/>
        <v>#DIV/0!</v>
      </c>
      <c r="S226" s="765">
        <f t="shared" si="33"/>
        <v>0</v>
      </c>
      <c r="Z226" s="830">
        <f t="shared" si="27"/>
        <v>0</v>
      </c>
      <c r="AA226" s="831">
        <v>0</v>
      </c>
      <c r="AB226" s="84">
        <f t="shared" si="26"/>
        <v>0</v>
      </c>
      <c r="AE226" s="84">
        <f t="shared" si="28"/>
        <v>0</v>
      </c>
    </row>
    <row r="227" spans="5:31" hidden="1" x14ac:dyDescent="0.25">
      <c r="E227" s="760">
        <v>43</v>
      </c>
      <c r="F227" s="782">
        <v>453</v>
      </c>
      <c r="G227" s="783" t="s">
        <v>4135</v>
      </c>
      <c r="H227" s="870">
        <v>0</v>
      </c>
      <c r="J227" s="764" t="e">
        <f t="shared" si="34"/>
        <v>#DIV/0!</v>
      </c>
      <c r="K227" s="763">
        <f t="shared" si="35"/>
        <v>0</v>
      </c>
      <c r="L227" s="765">
        <v>0</v>
      </c>
      <c r="M227" s="765">
        <v>0</v>
      </c>
      <c r="O227" s="765">
        <f t="shared" si="29"/>
        <v>0</v>
      </c>
      <c r="P227" s="765">
        <f t="shared" si="30"/>
        <v>0</v>
      </c>
      <c r="Q227" s="765">
        <f t="shared" si="31"/>
        <v>0</v>
      </c>
      <c r="R227" s="766" t="e">
        <f t="shared" si="32"/>
        <v>#DIV/0!</v>
      </c>
      <c r="S227" s="765">
        <f t="shared" si="33"/>
        <v>0</v>
      </c>
      <c r="Z227" s="830">
        <f t="shared" si="27"/>
        <v>0</v>
      </c>
      <c r="AA227" s="831">
        <v>0</v>
      </c>
      <c r="AB227" s="84">
        <f t="shared" si="26"/>
        <v>0</v>
      </c>
      <c r="AE227" s="84">
        <f t="shared" si="28"/>
        <v>0</v>
      </c>
    </row>
    <row r="228" spans="5:31" hidden="1" x14ac:dyDescent="0.25">
      <c r="E228" s="760">
        <v>44</v>
      </c>
      <c r="F228" s="782">
        <v>454</v>
      </c>
      <c r="G228" s="783" t="s">
        <v>3807</v>
      </c>
      <c r="H228" s="870">
        <v>0</v>
      </c>
      <c r="J228" s="764" t="e">
        <f t="shared" si="34"/>
        <v>#DIV/0!</v>
      </c>
      <c r="K228" s="763">
        <f t="shared" si="35"/>
        <v>0</v>
      </c>
      <c r="L228" s="765">
        <v>0</v>
      </c>
      <c r="M228" s="765">
        <v>0</v>
      </c>
      <c r="O228" s="765">
        <f t="shared" si="29"/>
        <v>0</v>
      </c>
      <c r="P228" s="765">
        <f t="shared" si="30"/>
        <v>0</v>
      </c>
      <c r="Q228" s="765">
        <f t="shared" si="31"/>
        <v>0</v>
      </c>
      <c r="R228" s="766" t="e">
        <f t="shared" si="32"/>
        <v>#DIV/0!</v>
      </c>
      <c r="S228" s="765">
        <f t="shared" si="33"/>
        <v>0</v>
      </c>
      <c r="Z228" s="830">
        <f t="shared" si="27"/>
        <v>0</v>
      </c>
      <c r="AA228" s="831">
        <v>0</v>
      </c>
      <c r="AB228" s="84">
        <f t="shared" si="26"/>
        <v>0</v>
      </c>
      <c r="AE228" s="84">
        <f t="shared" si="28"/>
        <v>0</v>
      </c>
    </row>
    <row r="229" spans="5:31" hidden="1" x14ac:dyDescent="0.25">
      <c r="E229" s="760">
        <v>45</v>
      </c>
      <c r="F229" s="782">
        <v>461</v>
      </c>
      <c r="G229" s="783" t="s">
        <v>4116</v>
      </c>
      <c r="H229" s="870">
        <v>0</v>
      </c>
      <c r="J229" s="764" t="e">
        <f t="shared" si="34"/>
        <v>#DIV/0!</v>
      </c>
      <c r="K229" s="763">
        <f t="shared" si="35"/>
        <v>0</v>
      </c>
      <c r="L229" s="765">
        <v>0</v>
      </c>
      <c r="M229" s="765">
        <v>0</v>
      </c>
      <c r="O229" s="765">
        <f t="shared" si="29"/>
        <v>0</v>
      </c>
      <c r="P229" s="765">
        <f t="shared" si="30"/>
        <v>0</v>
      </c>
      <c r="Q229" s="765">
        <f t="shared" si="31"/>
        <v>0</v>
      </c>
      <c r="R229" s="766" t="e">
        <f t="shared" si="32"/>
        <v>#DIV/0!</v>
      </c>
      <c r="S229" s="765">
        <f t="shared" si="33"/>
        <v>0</v>
      </c>
      <c r="Z229" s="830">
        <f t="shared" si="27"/>
        <v>0</v>
      </c>
      <c r="AA229" s="831">
        <v>0</v>
      </c>
      <c r="AB229" s="84">
        <f t="shared" si="26"/>
        <v>0</v>
      </c>
      <c r="AE229" s="84">
        <f t="shared" si="28"/>
        <v>0</v>
      </c>
    </row>
    <row r="230" spans="5:31" ht="30" hidden="1" x14ac:dyDescent="0.25">
      <c r="E230" s="760">
        <v>46</v>
      </c>
      <c r="F230" s="782">
        <v>462</v>
      </c>
      <c r="G230" s="783" t="s">
        <v>3810</v>
      </c>
      <c r="H230" s="870">
        <v>0</v>
      </c>
      <c r="J230" s="764" t="e">
        <f t="shared" si="34"/>
        <v>#DIV/0!</v>
      </c>
      <c r="K230" s="763">
        <f t="shared" si="35"/>
        <v>0</v>
      </c>
      <c r="L230" s="765">
        <v>0</v>
      </c>
      <c r="M230" s="765">
        <v>0</v>
      </c>
      <c r="O230" s="765">
        <f t="shared" si="29"/>
        <v>0</v>
      </c>
      <c r="P230" s="765">
        <f t="shared" si="30"/>
        <v>0</v>
      </c>
      <c r="Q230" s="765">
        <f t="shared" si="31"/>
        <v>0</v>
      </c>
      <c r="R230" s="766" t="e">
        <f t="shared" si="32"/>
        <v>#DIV/0!</v>
      </c>
      <c r="S230" s="765">
        <f t="shared" si="33"/>
        <v>0</v>
      </c>
      <c r="Z230" s="830">
        <f t="shared" si="27"/>
        <v>0</v>
      </c>
      <c r="AA230" s="831">
        <v>0</v>
      </c>
      <c r="AB230" s="84">
        <f t="shared" si="26"/>
        <v>0</v>
      </c>
      <c r="AE230" s="84">
        <f t="shared" si="28"/>
        <v>0</v>
      </c>
    </row>
    <row r="231" spans="5:31" hidden="1" x14ac:dyDescent="0.25">
      <c r="E231" s="760">
        <v>47</v>
      </c>
      <c r="F231" s="782">
        <v>4631</v>
      </c>
      <c r="G231" s="783" t="s">
        <v>3811</v>
      </c>
      <c r="H231" s="870">
        <v>0</v>
      </c>
      <c r="J231" s="764" t="e">
        <f t="shared" si="34"/>
        <v>#DIV/0!</v>
      </c>
      <c r="K231" s="763">
        <f t="shared" si="35"/>
        <v>0</v>
      </c>
      <c r="L231" s="765">
        <v>0</v>
      </c>
      <c r="M231" s="765">
        <v>0</v>
      </c>
      <c r="O231" s="765">
        <f t="shared" si="29"/>
        <v>0</v>
      </c>
      <c r="P231" s="765">
        <f t="shared" si="30"/>
        <v>0</v>
      </c>
      <c r="Q231" s="765">
        <f t="shared" si="31"/>
        <v>0</v>
      </c>
      <c r="R231" s="766" t="e">
        <f t="shared" si="32"/>
        <v>#DIV/0!</v>
      </c>
      <c r="S231" s="765">
        <f t="shared" si="33"/>
        <v>0</v>
      </c>
      <c r="Z231" s="830">
        <f t="shared" si="27"/>
        <v>0</v>
      </c>
      <c r="AA231" s="831">
        <v>0</v>
      </c>
      <c r="AB231" s="84">
        <f t="shared" si="26"/>
        <v>0</v>
      </c>
      <c r="AE231" s="84">
        <f t="shared" si="28"/>
        <v>0</v>
      </c>
    </row>
    <row r="232" spans="5:31" hidden="1" x14ac:dyDescent="0.25">
      <c r="E232" s="760">
        <v>48</v>
      </c>
      <c r="F232" s="782">
        <v>4632</v>
      </c>
      <c r="G232" s="783" t="s">
        <v>3812</v>
      </c>
      <c r="H232" s="870">
        <v>0</v>
      </c>
      <c r="J232" s="764" t="e">
        <f t="shared" si="34"/>
        <v>#DIV/0!</v>
      </c>
      <c r="K232" s="763">
        <f t="shared" si="35"/>
        <v>0</v>
      </c>
      <c r="L232" s="765">
        <v>0</v>
      </c>
      <c r="M232" s="765">
        <v>0</v>
      </c>
      <c r="O232" s="765">
        <f t="shared" si="29"/>
        <v>0</v>
      </c>
      <c r="P232" s="765">
        <f t="shared" si="30"/>
        <v>0</v>
      </c>
      <c r="Q232" s="765">
        <f t="shared" si="31"/>
        <v>0</v>
      </c>
      <c r="R232" s="766" t="e">
        <f t="shared" si="32"/>
        <v>#DIV/0!</v>
      </c>
      <c r="S232" s="765">
        <f t="shared" si="33"/>
        <v>0</v>
      </c>
      <c r="Z232" s="830">
        <f t="shared" si="27"/>
        <v>0</v>
      </c>
      <c r="AA232" s="831">
        <v>0</v>
      </c>
      <c r="AB232" s="84">
        <f t="shared" si="26"/>
        <v>0</v>
      </c>
      <c r="AE232" s="84">
        <f t="shared" si="28"/>
        <v>0</v>
      </c>
    </row>
    <row r="233" spans="5:31" ht="30" hidden="1" x14ac:dyDescent="0.25">
      <c r="E233" s="760">
        <v>49</v>
      </c>
      <c r="F233" s="782">
        <v>464</v>
      </c>
      <c r="G233" s="783" t="s">
        <v>3813</v>
      </c>
      <c r="H233" s="870">
        <v>0</v>
      </c>
      <c r="J233" s="764" t="e">
        <f t="shared" si="34"/>
        <v>#DIV/0!</v>
      </c>
      <c r="K233" s="763">
        <f t="shared" si="35"/>
        <v>0</v>
      </c>
      <c r="L233" s="765">
        <v>0</v>
      </c>
      <c r="M233" s="765">
        <v>0</v>
      </c>
      <c r="O233" s="765">
        <f t="shared" si="29"/>
        <v>0</v>
      </c>
      <c r="P233" s="765">
        <f t="shared" si="30"/>
        <v>0</v>
      </c>
      <c r="Q233" s="765">
        <f t="shared" si="31"/>
        <v>0</v>
      </c>
      <c r="R233" s="766" t="e">
        <f t="shared" si="32"/>
        <v>#DIV/0!</v>
      </c>
      <c r="S233" s="765">
        <f t="shared" si="33"/>
        <v>0</v>
      </c>
      <c r="Z233" s="830">
        <f t="shared" si="27"/>
        <v>0</v>
      </c>
      <c r="AA233" s="831">
        <v>0</v>
      </c>
      <c r="AB233" s="84">
        <f t="shared" si="26"/>
        <v>0</v>
      </c>
      <c r="AE233" s="84">
        <f t="shared" si="28"/>
        <v>0</v>
      </c>
    </row>
    <row r="234" spans="5:31" ht="15.75" thickBot="1" x14ac:dyDescent="0.3">
      <c r="E234" s="875">
        <v>17</v>
      </c>
      <c r="F234" s="782">
        <v>465</v>
      </c>
      <c r="G234" s="783" t="s">
        <v>4117</v>
      </c>
      <c r="H234" s="870">
        <v>322619</v>
      </c>
      <c r="I234" s="763">
        <f>225971.95+27929.67</f>
        <v>253901.62</v>
      </c>
      <c r="J234" s="764">
        <f t="shared" si="34"/>
        <v>0.78700144752788892</v>
      </c>
      <c r="K234" s="763">
        <f t="shared" si="35"/>
        <v>68717.38</v>
      </c>
      <c r="L234" s="765">
        <v>0</v>
      </c>
      <c r="M234" s="765">
        <v>0</v>
      </c>
      <c r="O234" s="765">
        <f t="shared" si="29"/>
        <v>0</v>
      </c>
      <c r="P234" s="765">
        <f t="shared" si="30"/>
        <v>322619</v>
      </c>
      <c r="Q234" s="765">
        <f t="shared" si="31"/>
        <v>253901.62</v>
      </c>
      <c r="R234" s="766">
        <f t="shared" si="32"/>
        <v>0.78700144752788892</v>
      </c>
      <c r="S234" s="765">
        <f t="shared" si="33"/>
        <v>68717.38</v>
      </c>
      <c r="Z234" s="830">
        <f t="shared" si="27"/>
        <v>322619</v>
      </c>
      <c r="AA234" s="831">
        <v>323000</v>
      </c>
      <c r="AB234" s="84">
        <f t="shared" si="26"/>
        <v>-381</v>
      </c>
      <c r="AE234" s="84">
        <f t="shared" si="28"/>
        <v>-381</v>
      </c>
    </row>
    <row r="235" spans="5:31" hidden="1" x14ac:dyDescent="0.25">
      <c r="F235" s="782">
        <v>482</v>
      </c>
      <c r="G235" s="783" t="s">
        <v>4137</v>
      </c>
      <c r="H235" s="870">
        <v>0</v>
      </c>
      <c r="I235" s="763">
        <v>0</v>
      </c>
      <c r="K235" s="763">
        <f t="shared" si="35"/>
        <v>0</v>
      </c>
      <c r="L235" s="765">
        <v>0</v>
      </c>
      <c r="M235" s="765">
        <v>0</v>
      </c>
      <c r="O235" s="765">
        <f t="shared" si="29"/>
        <v>0</v>
      </c>
      <c r="P235" s="765">
        <f t="shared" si="30"/>
        <v>0</v>
      </c>
      <c r="Q235" s="765">
        <f t="shared" si="31"/>
        <v>0</v>
      </c>
      <c r="R235" s="766" t="e">
        <f t="shared" si="32"/>
        <v>#DIV/0!</v>
      </c>
      <c r="S235" s="765">
        <f t="shared" si="33"/>
        <v>0</v>
      </c>
      <c r="V235" s="203">
        <f>I235/10*12</f>
        <v>0</v>
      </c>
      <c r="W235" s="203">
        <f>H235-V235</f>
        <v>0</v>
      </c>
      <c r="Z235" s="830">
        <f>H235-X235+Y235</f>
        <v>0</v>
      </c>
      <c r="AB235" s="84">
        <f t="shared" si="26"/>
        <v>0</v>
      </c>
    </row>
    <row r="236" spans="5:31" hidden="1" x14ac:dyDescent="0.25">
      <c r="F236" s="782">
        <v>483</v>
      </c>
      <c r="G236" s="876" t="s">
        <v>4138</v>
      </c>
      <c r="H236" s="870">
        <v>0</v>
      </c>
      <c r="I236" s="763">
        <v>0</v>
      </c>
      <c r="K236" s="763">
        <f t="shared" si="35"/>
        <v>0</v>
      </c>
      <c r="L236" s="765">
        <v>0</v>
      </c>
      <c r="M236" s="765">
        <v>0</v>
      </c>
      <c r="O236" s="765">
        <f t="shared" si="29"/>
        <v>0</v>
      </c>
      <c r="P236" s="765">
        <f t="shared" si="30"/>
        <v>0</v>
      </c>
      <c r="Q236" s="765">
        <f t="shared" si="31"/>
        <v>0</v>
      </c>
      <c r="R236" s="766" t="e">
        <f t="shared" si="32"/>
        <v>#DIV/0!</v>
      </c>
      <c r="S236" s="765">
        <f t="shared" si="33"/>
        <v>0</v>
      </c>
      <c r="V236" s="203">
        <f>I236/10*12</f>
        <v>0</v>
      </c>
      <c r="W236" s="203">
        <f>H236-V236</f>
        <v>0</v>
      </c>
      <c r="Z236" s="830">
        <f>H236-X236+Y236</f>
        <v>0</v>
      </c>
      <c r="AB236" s="84">
        <f t="shared" si="26"/>
        <v>0</v>
      </c>
    </row>
    <row r="237" spans="5:31" ht="45" hidden="1" x14ac:dyDescent="0.25">
      <c r="F237" s="782">
        <v>484</v>
      </c>
      <c r="G237" s="783" t="s">
        <v>4139</v>
      </c>
      <c r="S237" s="765">
        <f t="shared" ref="S237:S258" si="36">SUM(H237:L237)</f>
        <v>0</v>
      </c>
      <c r="AB237" s="84">
        <f t="shared" si="26"/>
        <v>0</v>
      </c>
    </row>
    <row r="238" spans="5:31" ht="30" hidden="1" x14ac:dyDescent="0.25">
      <c r="F238" s="782">
        <v>485</v>
      </c>
      <c r="G238" s="783" t="s">
        <v>4140</v>
      </c>
      <c r="S238" s="765">
        <f t="shared" si="36"/>
        <v>0</v>
      </c>
      <c r="AB238" s="84">
        <f t="shared" si="26"/>
        <v>0</v>
      </c>
    </row>
    <row r="239" spans="5:31" ht="30" hidden="1" x14ac:dyDescent="0.25">
      <c r="F239" s="782">
        <v>489</v>
      </c>
      <c r="G239" s="783" t="s">
        <v>3825</v>
      </c>
      <c r="S239" s="765">
        <f t="shared" si="36"/>
        <v>0</v>
      </c>
      <c r="AB239" s="84">
        <f t="shared" si="26"/>
        <v>0</v>
      </c>
    </row>
    <row r="240" spans="5:31" ht="30" hidden="1" x14ac:dyDescent="0.25">
      <c r="F240" s="782">
        <v>494</v>
      </c>
      <c r="G240" s="783" t="s">
        <v>4118</v>
      </c>
      <c r="S240" s="765">
        <f t="shared" si="36"/>
        <v>0</v>
      </c>
      <c r="AB240" s="84">
        <f t="shared" si="26"/>
        <v>0</v>
      </c>
    </row>
    <row r="241" spans="6:28" ht="30" hidden="1" x14ac:dyDescent="0.25">
      <c r="F241" s="782">
        <v>495</v>
      </c>
      <c r="G241" s="783" t="s">
        <v>4119</v>
      </c>
      <c r="S241" s="765">
        <f t="shared" si="36"/>
        <v>0</v>
      </c>
      <c r="AB241" s="84">
        <f t="shared" si="26"/>
        <v>0</v>
      </c>
    </row>
    <row r="242" spans="6:28" ht="45" hidden="1" x14ac:dyDescent="0.25">
      <c r="F242" s="782">
        <v>496</v>
      </c>
      <c r="G242" s="783" t="s">
        <v>4120</v>
      </c>
      <c r="S242" s="765">
        <f t="shared" si="36"/>
        <v>0</v>
      </c>
      <c r="AB242" s="84">
        <f t="shared" si="26"/>
        <v>0</v>
      </c>
    </row>
    <row r="243" spans="6:28" ht="30" hidden="1" x14ac:dyDescent="0.25">
      <c r="F243" s="782">
        <v>499</v>
      </c>
      <c r="G243" s="783" t="s">
        <v>4121</v>
      </c>
      <c r="S243" s="765">
        <f t="shared" si="36"/>
        <v>0</v>
      </c>
      <c r="AB243" s="84">
        <f t="shared" si="26"/>
        <v>0</v>
      </c>
    </row>
    <row r="244" spans="6:28" hidden="1" x14ac:dyDescent="0.25">
      <c r="F244" s="782">
        <v>511</v>
      </c>
      <c r="G244" s="876" t="s">
        <v>4141</v>
      </c>
      <c r="S244" s="765">
        <f t="shared" si="36"/>
        <v>0</v>
      </c>
      <c r="AB244" s="84">
        <f t="shared" si="26"/>
        <v>0</v>
      </c>
    </row>
    <row r="245" spans="6:28" hidden="1" x14ac:dyDescent="0.25">
      <c r="F245" s="782">
        <v>512</v>
      </c>
      <c r="G245" s="876" t="s">
        <v>4142</v>
      </c>
      <c r="S245" s="765">
        <f t="shared" si="36"/>
        <v>0</v>
      </c>
      <c r="AB245" s="84">
        <f t="shared" si="26"/>
        <v>0</v>
      </c>
    </row>
    <row r="246" spans="6:28" hidden="1" x14ac:dyDescent="0.25">
      <c r="F246" s="782">
        <v>513</v>
      </c>
      <c r="G246" s="876" t="s">
        <v>4143</v>
      </c>
      <c r="S246" s="765">
        <f t="shared" si="36"/>
        <v>0</v>
      </c>
      <c r="AB246" s="84">
        <f t="shared" si="26"/>
        <v>0</v>
      </c>
    </row>
    <row r="247" spans="6:28" hidden="1" x14ac:dyDescent="0.25">
      <c r="F247" s="782">
        <v>514</v>
      </c>
      <c r="G247" s="783" t="s">
        <v>4144</v>
      </c>
      <c r="S247" s="765">
        <f t="shared" si="36"/>
        <v>0</v>
      </c>
      <c r="AB247" s="84">
        <f t="shared" si="26"/>
        <v>0</v>
      </c>
    </row>
    <row r="248" spans="6:28" hidden="1" x14ac:dyDescent="0.25">
      <c r="F248" s="782">
        <v>515</v>
      </c>
      <c r="G248" s="783" t="s">
        <v>3836</v>
      </c>
      <c r="S248" s="765">
        <f t="shared" si="36"/>
        <v>0</v>
      </c>
      <c r="AB248" s="84">
        <f t="shared" si="26"/>
        <v>0</v>
      </c>
    </row>
    <row r="249" spans="6:28" hidden="1" x14ac:dyDescent="0.25">
      <c r="F249" s="782">
        <v>521</v>
      </c>
      <c r="G249" s="783" t="s">
        <v>4145</v>
      </c>
      <c r="S249" s="765">
        <f t="shared" si="36"/>
        <v>0</v>
      </c>
      <c r="AB249" s="84">
        <f t="shared" si="26"/>
        <v>0</v>
      </c>
    </row>
    <row r="250" spans="6:28" hidden="1" x14ac:dyDescent="0.25">
      <c r="F250" s="782">
        <v>522</v>
      </c>
      <c r="G250" s="783" t="s">
        <v>4146</v>
      </c>
      <c r="S250" s="765">
        <f t="shared" si="36"/>
        <v>0</v>
      </c>
      <c r="AB250" s="84">
        <f t="shared" si="26"/>
        <v>0</v>
      </c>
    </row>
    <row r="251" spans="6:28" hidden="1" x14ac:dyDescent="0.25">
      <c r="F251" s="782">
        <v>523</v>
      </c>
      <c r="G251" s="783" t="s">
        <v>3841</v>
      </c>
      <c r="S251" s="765">
        <f t="shared" si="36"/>
        <v>0</v>
      </c>
      <c r="AB251" s="84">
        <f t="shared" si="26"/>
        <v>0</v>
      </c>
    </row>
    <row r="252" spans="6:28" hidden="1" x14ac:dyDescent="0.25">
      <c r="F252" s="782">
        <v>531</v>
      </c>
      <c r="G252" s="783" t="s">
        <v>4122</v>
      </c>
      <c r="S252" s="765">
        <f t="shared" si="36"/>
        <v>0</v>
      </c>
      <c r="AB252" s="84">
        <f t="shared" si="26"/>
        <v>0</v>
      </c>
    </row>
    <row r="253" spans="6:28" hidden="1" x14ac:dyDescent="0.25">
      <c r="F253" s="782">
        <v>541</v>
      </c>
      <c r="G253" s="783" t="s">
        <v>4147</v>
      </c>
      <c r="S253" s="765">
        <f t="shared" si="36"/>
        <v>0</v>
      </c>
      <c r="AB253" s="84">
        <f t="shared" si="26"/>
        <v>0</v>
      </c>
    </row>
    <row r="254" spans="6:28" hidden="1" x14ac:dyDescent="0.25">
      <c r="F254" s="782">
        <v>542</v>
      </c>
      <c r="G254" s="783" t="s">
        <v>4148</v>
      </c>
      <c r="S254" s="765">
        <f t="shared" si="36"/>
        <v>0</v>
      </c>
      <c r="AB254" s="84">
        <f t="shared" si="26"/>
        <v>0</v>
      </c>
    </row>
    <row r="255" spans="6:28" hidden="1" x14ac:dyDescent="0.25">
      <c r="F255" s="782">
        <v>543</v>
      </c>
      <c r="G255" s="783" t="s">
        <v>3846</v>
      </c>
      <c r="S255" s="765">
        <f t="shared" si="36"/>
        <v>0</v>
      </c>
      <c r="AB255" s="84">
        <f t="shared" si="26"/>
        <v>0</v>
      </c>
    </row>
    <row r="256" spans="6:28" ht="45" hidden="1" x14ac:dyDescent="0.25">
      <c r="F256" s="782">
        <v>551</v>
      </c>
      <c r="G256" s="783" t="s">
        <v>4123</v>
      </c>
      <c r="S256" s="765">
        <f t="shared" si="36"/>
        <v>0</v>
      </c>
      <c r="AB256" s="84">
        <f t="shared" si="26"/>
        <v>0</v>
      </c>
    </row>
    <row r="257" spans="5:28" hidden="1" x14ac:dyDescent="0.25">
      <c r="F257" s="785">
        <v>611</v>
      </c>
      <c r="G257" s="876" t="s">
        <v>3852</v>
      </c>
      <c r="S257" s="765">
        <f t="shared" si="36"/>
        <v>0</v>
      </c>
      <c r="AB257" s="84">
        <f t="shared" si="26"/>
        <v>0</v>
      </c>
    </row>
    <row r="258" spans="5:28" ht="15.75" hidden="1" thickBot="1" x14ac:dyDescent="0.3">
      <c r="F258" s="785">
        <v>620</v>
      </c>
      <c r="G258" s="876" t="s">
        <v>89</v>
      </c>
      <c r="S258" s="765">
        <f t="shared" si="36"/>
        <v>0</v>
      </c>
      <c r="AB258" s="84">
        <f t="shared" si="26"/>
        <v>0</v>
      </c>
    </row>
    <row r="259" spans="5:28" x14ac:dyDescent="0.25">
      <c r="E259" s="784"/>
      <c r="F259" s="785"/>
      <c r="G259" s="786" t="s">
        <v>4187</v>
      </c>
      <c r="H259" s="787"/>
      <c r="I259" s="787"/>
      <c r="J259" s="788"/>
      <c r="K259" s="787"/>
      <c r="L259" s="789"/>
      <c r="M259" s="789"/>
      <c r="N259" s="790"/>
      <c r="O259" s="789"/>
      <c r="P259" s="789"/>
      <c r="Q259" s="789"/>
      <c r="R259" s="790"/>
      <c r="S259" s="877"/>
      <c r="AB259" s="84">
        <f t="shared" si="26"/>
        <v>0</v>
      </c>
    </row>
    <row r="260" spans="5:28" ht="15.75" thickBot="1" x14ac:dyDescent="0.3">
      <c r="E260" s="791"/>
      <c r="F260" s="792" t="s">
        <v>235</v>
      </c>
      <c r="G260" s="793" t="s">
        <v>236</v>
      </c>
      <c r="H260" s="794">
        <f>SUM(H201:H258)</f>
        <v>6871725</v>
      </c>
      <c r="I260" s="794">
        <f t="shared" ref="I260:S260" si="37">SUM(I201:I258)</f>
        <v>4715330.4800000004</v>
      </c>
      <c r="J260" s="795">
        <f>I260/H260</f>
        <v>0.68619312909058505</v>
      </c>
      <c r="K260" s="794">
        <f t="shared" si="37"/>
        <v>2156394.5199999996</v>
      </c>
      <c r="L260" s="796">
        <f t="shared" si="37"/>
        <v>0</v>
      </c>
      <c r="M260" s="796">
        <f t="shared" si="37"/>
        <v>0</v>
      </c>
      <c r="N260" s="797"/>
      <c r="O260" s="796">
        <f t="shared" si="37"/>
        <v>0</v>
      </c>
      <c r="P260" s="796">
        <f t="shared" si="37"/>
        <v>6871725</v>
      </c>
      <c r="Q260" s="796">
        <f t="shared" si="37"/>
        <v>4715330.4800000004</v>
      </c>
      <c r="R260" s="797">
        <f>Q260/P260</f>
        <v>0.68619312909058505</v>
      </c>
      <c r="S260" s="796">
        <f t="shared" si="37"/>
        <v>2156394.5199999996</v>
      </c>
      <c r="AB260" s="84">
        <f t="shared" si="26"/>
        <v>0</v>
      </c>
    </row>
    <row r="261" spans="5:28" ht="15.75" hidden="1" thickBot="1" x14ac:dyDescent="0.3">
      <c r="F261" s="792" t="s">
        <v>237</v>
      </c>
      <c r="G261" s="793" t="s">
        <v>238</v>
      </c>
      <c r="S261" s="796">
        <f t="shared" ref="S261:S275" si="38">SUM(H261:L261)</f>
        <v>0</v>
      </c>
      <c r="AB261" s="84">
        <f t="shared" ref="AB261:AB324" si="39">Z261-AA261</f>
        <v>0</v>
      </c>
    </row>
    <row r="262" spans="5:28" ht="15.75" hidden="1" thickBot="1" x14ac:dyDescent="0.3">
      <c r="F262" s="792" t="s">
        <v>239</v>
      </c>
      <c r="G262" s="793" t="s">
        <v>240</v>
      </c>
      <c r="S262" s="796">
        <f t="shared" si="38"/>
        <v>0</v>
      </c>
      <c r="AB262" s="84">
        <f t="shared" si="39"/>
        <v>0</v>
      </c>
    </row>
    <row r="263" spans="5:28" ht="15.75" hidden="1" thickBot="1" x14ac:dyDescent="0.3">
      <c r="F263" s="792" t="s">
        <v>241</v>
      </c>
      <c r="G263" s="793" t="s">
        <v>242</v>
      </c>
      <c r="S263" s="796">
        <f t="shared" si="38"/>
        <v>0</v>
      </c>
      <c r="AB263" s="84">
        <f t="shared" si="39"/>
        <v>0</v>
      </c>
    </row>
    <row r="264" spans="5:28" ht="15.75" hidden="1" thickBot="1" x14ac:dyDescent="0.3">
      <c r="F264" s="792" t="s">
        <v>243</v>
      </c>
      <c r="G264" s="793" t="s">
        <v>244</v>
      </c>
      <c r="S264" s="796">
        <f t="shared" si="38"/>
        <v>0</v>
      </c>
      <c r="AB264" s="84">
        <f t="shared" si="39"/>
        <v>0</v>
      </c>
    </row>
    <row r="265" spans="5:28" ht="15.75" hidden="1" thickBot="1" x14ac:dyDescent="0.3">
      <c r="F265" s="792" t="s">
        <v>245</v>
      </c>
      <c r="G265" s="793" t="s">
        <v>246</v>
      </c>
      <c r="S265" s="796">
        <f t="shared" si="38"/>
        <v>0</v>
      </c>
      <c r="AB265" s="84">
        <f t="shared" si="39"/>
        <v>0</v>
      </c>
    </row>
    <row r="266" spans="5:28" ht="15.75" hidden="1" thickBot="1" x14ac:dyDescent="0.3">
      <c r="F266" s="792" t="s">
        <v>247</v>
      </c>
      <c r="G266" s="793" t="s">
        <v>4745</v>
      </c>
      <c r="S266" s="796">
        <f t="shared" si="38"/>
        <v>0</v>
      </c>
      <c r="AB266" s="84">
        <f t="shared" si="39"/>
        <v>0</v>
      </c>
    </row>
    <row r="267" spans="5:28" ht="30.75" hidden="1" thickBot="1" x14ac:dyDescent="0.3">
      <c r="F267" s="792" t="s">
        <v>248</v>
      </c>
      <c r="G267" s="793" t="s">
        <v>4744</v>
      </c>
      <c r="S267" s="796">
        <f t="shared" si="38"/>
        <v>0</v>
      </c>
      <c r="AB267" s="84">
        <f t="shared" si="39"/>
        <v>0</v>
      </c>
    </row>
    <row r="268" spans="5:28" ht="15.75" hidden="1" thickBot="1" x14ac:dyDescent="0.3">
      <c r="F268" s="792" t="s">
        <v>249</v>
      </c>
      <c r="G268" s="793" t="s">
        <v>58</v>
      </c>
      <c r="S268" s="796">
        <f t="shared" si="38"/>
        <v>0</v>
      </c>
      <c r="AB268" s="84">
        <f t="shared" si="39"/>
        <v>0</v>
      </c>
    </row>
    <row r="269" spans="5:28" ht="15.75" hidden="1" thickBot="1" x14ac:dyDescent="0.3">
      <c r="F269" s="792" t="s">
        <v>250</v>
      </c>
      <c r="G269" s="793" t="s">
        <v>251</v>
      </c>
      <c r="S269" s="796">
        <f t="shared" si="38"/>
        <v>0</v>
      </c>
      <c r="AB269" s="84">
        <f t="shared" si="39"/>
        <v>0</v>
      </c>
    </row>
    <row r="270" spans="5:28" ht="15.75" hidden="1" thickBot="1" x14ac:dyDescent="0.3">
      <c r="F270" s="792" t="s">
        <v>252</v>
      </c>
      <c r="G270" s="793" t="s">
        <v>253</v>
      </c>
      <c r="S270" s="796">
        <f t="shared" si="38"/>
        <v>0</v>
      </c>
      <c r="AB270" s="84">
        <f t="shared" si="39"/>
        <v>0</v>
      </c>
    </row>
    <row r="271" spans="5:28" ht="30.75" hidden="1" thickBot="1" x14ac:dyDescent="0.3">
      <c r="F271" s="792" t="s">
        <v>254</v>
      </c>
      <c r="G271" s="793" t="s">
        <v>255</v>
      </c>
      <c r="S271" s="796">
        <f t="shared" si="38"/>
        <v>0</v>
      </c>
      <c r="AB271" s="84">
        <f t="shared" si="39"/>
        <v>0</v>
      </c>
    </row>
    <row r="272" spans="5:28" ht="15.75" hidden="1" thickBot="1" x14ac:dyDescent="0.3">
      <c r="F272" s="792" t="s">
        <v>256</v>
      </c>
      <c r="G272" s="793" t="s">
        <v>257</v>
      </c>
      <c r="S272" s="796">
        <f t="shared" si="38"/>
        <v>0</v>
      </c>
      <c r="AB272" s="84">
        <f t="shared" si="39"/>
        <v>0</v>
      </c>
    </row>
    <row r="273" spans="5:28" ht="30.75" hidden="1" thickBot="1" x14ac:dyDescent="0.3">
      <c r="F273" s="792" t="s">
        <v>258</v>
      </c>
      <c r="G273" s="793" t="s">
        <v>259</v>
      </c>
      <c r="S273" s="796">
        <f t="shared" si="38"/>
        <v>0</v>
      </c>
      <c r="AB273" s="84">
        <f t="shared" si="39"/>
        <v>0</v>
      </c>
    </row>
    <row r="274" spans="5:28" ht="30.75" hidden="1" thickBot="1" x14ac:dyDescent="0.3">
      <c r="F274" s="792" t="s">
        <v>260</v>
      </c>
      <c r="G274" s="793" t="s">
        <v>261</v>
      </c>
      <c r="S274" s="796">
        <f t="shared" si="38"/>
        <v>0</v>
      </c>
      <c r="AB274" s="84">
        <f t="shared" si="39"/>
        <v>0</v>
      </c>
    </row>
    <row r="275" spans="5:28" ht="15.75" hidden="1" thickBot="1" x14ac:dyDescent="0.3">
      <c r="F275" s="792" t="s">
        <v>262</v>
      </c>
      <c r="G275" s="793" t="s">
        <v>263</v>
      </c>
      <c r="H275" s="794"/>
      <c r="I275" s="794"/>
      <c r="J275" s="795"/>
      <c r="K275" s="794"/>
      <c r="L275" s="796"/>
      <c r="M275" s="796"/>
      <c r="N275" s="797"/>
      <c r="O275" s="796"/>
      <c r="P275" s="796"/>
      <c r="Q275" s="796"/>
      <c r="R275" s="797"/>
      <c r="S275" s="796">
        <f t="shared" si="38"/>
        <v>0</v>
      </c>
      <c r="AB275" s="84">
        <f t="shared" si="39"/>
        <v>0</v>
      </c>
    </row>
    <row r="276" spans="5:28" ht="15.75" thickBot="1" x14ac:dyDescent="0.3">
      <c r="G276" s="798" t="s">
        <v>4173</v>
      </c>
      <c r="H276" s="799">
        <f>SUM(H260:H275)</f>
        <v>6871725</v>
      </c>
      <c r="I276" s="799">
        <f t="shared" ref="I276:S276" si="40">SUM(I260:I275)</f>
        <v>4715330.4800000004</v>
      </c>
      <c r="J276" s="800">
        <f t="shared" si="40"/>
        <v>0.68619312909058505</v>
      </c>
      <c r="K276" s="799">
        <f t="shared" si="40"/>
        <v>2156394.5199999996</v>
      </c>
      <c r="L276" s="801">
        <f t="shared" si="40"/>
        <v>0</v>
      </c>
      <c r="M276" s="801">
        <f t="shared" si="40"/>
        <v>0</v>
      </c>
      <c r="N276" s="802"/>
      <c r="O276" s="801">
        <f t="shared" si="40"/>
        <v>0</v>
      </c>
      <c r="P276" s="801">
        <f t="shared" si="40"/>
        <v>6871725</v>
      </c>
      <c r="Q276" s="801">
        <f t="shared" si="40"/>
        <v>4715330.4800000004</v>
      </c>
      <c r="R276" s="802">
        <f t="shared" si="40"/>
        <v>0.68619312909058505</v>
      </c>
      <c r="S276" s="801">
        <f t="shared" si="40"/>
        <v>2156394.5199999996</v>
      </c>
      <c r="AB276" s="84">
        <f t="shared" si="39"/>
        <v>0</v>
      </c>
    </row>
    <row r="277" spans="5:28" ht="28.5" collapsed="1" x14ac:dyDescent="0.25">
      <c r="E277" s="784"/>
      <c r="F277" s="785"/>
      <c r="G277" s="803" t="s">
        <v>4912</v>
      </c>
      <c r="H277" s="804"/>
      <c r="I277" s="805"/>
      <c r="J277" s="806"/>
      <c r="K277" s="805"/>
      <c r="L277" s="807"/>
      <c r="M277" s="808"/>
      <c r="N277" s="809"/>
      <c r="O277" s="808"/>
      <c r="P277" s="808"/>
      <c r="Q277" s="808"/>
      <c r="R277" s="809"/>
      <c r="S277" s="878"/>
      <c r="AB277" s="84">
        <f t="shared" si="39"/>
        <v>0</v>
      </c>
    </row>
    <row r="278" spans="5:28" ht="15.75" thickBot="1" x14ac:dyDescent="0.3">
      <c r="E278" s="791"/>
      <c r="F278" s="792" t="s">
        <v>235</v>
      </c>
      <c r="G278" s="793" t="s">
        <v>236</v>
      </c>
      <c r="H278" s="794">
        <f>SUM(H201:H258)</f>
        <v>6871725</v>
      </c>
      <c r="I278" s="794">
        <f t="shared" ref="I278:S278" si="41">SUM(I201:I258)</f>
        <v>4715330.4800000004</v>
      </c>
      <c r="J278" s="795">
        <f>I278/H278</f>
        <v>0.68619312909058505</v>
      </c>
      <c r="K278" s="794">
        <f t="shared" si="41"/>
        <v>2156394.5199999996</v>
      </c>
      <c r="L278" s="796">
        <f t="shared" si="41"/>
        <v>0</v>
      </c>
      <c r="M278" s="796">
        <f t="shared" si="41"/>
        <v>0</v>
      </c>
      <c r="N278" s="797"/>
      <c r="O278" s="796">
        <f t="shared" si="41"/>
        <v>0</v>
      </c>
      <c r="P278" s="796">
        <f t="shared" si="41"/>
        <v>6871725</v>
      </c>
      <c r="Q278" s="796">
        <f t="shared" si="41"/>
        <v>4715330.4800000004</v>
      </c>
      <c r="R278" s="797">
        <f>Q278/P278</f>
        <v>0.68619312909058505</v>
      </c>
      <c r="S278" s="796">
        <f t="shared" si="41"/>
        <v>2156394.5199999996</v>
      </c>
      <c r="AB278" s="84">
        <f t="shared" si="39"/>
        <v>0</v>
      </c>
    </row>
    <row r="279" spans="5:28" hidden="1" x14ac:dyDescent="0.25">
      <c r="F279" s="792" t="s">
        <v>237</v>
      </c>
      <c r="G279" s="793" t="s">
        <v>238</v>
      </c>
      <c r="S279" s="796">
        <f t="shared" ref="S279:S293" si="42">SUM(H279:L279)</f>
        <v>0</v>
      </c>
      <c r="AB279" s="84">
        <f t="shared" si="39"/>
        <v>0</v>
      </c>
    </row>
    <row r="280" spans="5:28" hidden="1" x14ac:dyDescent="0.25">
      <c r="F280" s="792" t="s">
        <v>239</v>
      </c>
      <c r="G280" s="793" t="s">
        <v>240</v>
      </c>
      <c r="S280" s="796">
        <f t="shared" si="42"/>
        <v>0</v>
      </c>
      <c r="AB280" s="84">
        <f t="shared" si="39"/>
        <v>0</v>
      </c>
    </row>
    <row r="281" spans="5:28" hidden="1" x14ac:dyDescent="0.25">
      <c r="F281" s="792" t="s">
        <v>241</v>
      </c>
      <c r="G281" s="793" t="s">
        <v>242</v>
      </c>
      <c r="S281" s="796">
        <f t="shared" si="42"/>
        <v>0</v>
      </c>
      <c r="AB281" s="84">
        <f t="shared" si="39"/>
        <v>0</v>
      </c>
    </row>
    <row r="282" spans="5:28" hidden="1" x14ac:dyDescent="0.25">
      <c r="F282" s="792" t="s">
        <v>243</v>
      </c>
      <c r="G282" s="793" t="s">
        <v>244</v>
      </c>
      <c r="S282" s="796">
        <f t="shared" si="42"/>
        <v>0</v>
      </c>
      <c r="AB282" s="84">
        <f t="shared" si="39"/>
        <v>0</v>
      </c>
    </row>
    <row r="283" spans="5:28" hidden="1" x14ac:dyDescent="0.25">
      <c r="F283" s="792" t="s">
        <v>245</v>
      </c>
      <c r="G283" s="793" t="s">
        <v>246</v>
      </c>
      <c r="S283" s="796">
        <f t="shared" si="42"/>
        <v>0</v>
      </c>
      <c r="AB283" s="84">
        <f t="shared" si="39"/>
        <v>0</v>
      </c>
    </row>
    <row r="284" spans="5:28" hidden="1" x14ac:dyDescent="0.25">
      <c r="F284" s="792" t="s">
        <v>247</v>
      </c>
      <c r="G284" s="793" t="s">
        <v>4745</v>
      </c>
      <c r="S284" s="796">
        <f t="shared" si="42"/>
        <v>0</v>
      </c>
      <c r="AB284" s="84">
        <f t="shared" si="39"/>
        <v>0</v>
      </c>
    </row>
    <row r="285" spans="5:28" ht="30" hidden="1" x14ac:dyDescent="0.25">
      <c r="F285" s="792" t="s">
        <v>248</v>
      </c>
      <c r="G285" s="793" t="s">
        <v>4744</v>
      </c>
      <c r="S285" s="796">
        <f t="shared" si="42"/>
        <v>0</v>
      </c>
      <c r="AB285" s="84">
        <f t="shared" si="39"/>
        <v>0</v>
      </c>
    </row>
    <row r="286" spans="5:28" hidden="1" x14ac:dyDescent="0.25">
      <c r="F286" s="792" t="s">
        <v>249</v>
      </c>
      <c r="G286" s="793" t="s">
        <v>58</v>
      </c>
      <c r="S286" s="796">
        <f t="shared" si="42"/>
        <v>0</v>
      </c>
      <c r="AB286" s="84">
        <f t="shared" si="39"/>
        <v>0</v>
      </c>
    </row>
    <row r="287" spans="5:28" hidden="1" x14ac:dyDescent="0.25">
      <c r="F287" s="792" t="s">
        <v>250</v>
      </c>
      <c r="G287" s="793" t="s">
        <v>251</v>
      </c>
      <c r="S287" s="796">
        <f t="shared" si="42"/>
        <v>0</v>
      </c>
      <c r="AB287" s="84">
        <f t="shared" si="39"/>
        <v>0</v>
      </c>
    </row>
    <row r="288" spans="5:28" hidden="1" x14ac:dyDescent="0.25">
      <c r="F288" s="792" t="s">
        <v>252</v>
      </c>
      <c r="G288" s="793" t="s">
        <v>253</v>
      </c>
      <c r="S288" s="796">
        <f t="shared" si="42"/>
        <v>0</v>
      </c>
      <c r="AB288" s="84">
        <f t="shared" si="39"/>
        <v>0</v>
      </c>
    </row>
    <row r="289" spans="3:28" ht="30" hidden="1" x14ac:dyDescent="0.25">
      <c r="F289" s="792" t="s">
        <v>254</v>
      </c>
      <c r="G289" s="793" t="s">
        <v>255</v>
      </c>
      <c r="S289" s="796">
        <f t="shared" si="42"/>
        <v>0</v>
      </c>
      <c r="AB289" s="84">
        <f t="shared" si="39"/>
        <v>0</v>
      </c>
    </row>
    <row r="290" spans="3:28" hidden="1" x14ac:dyDescent="0.25">
      <c r="F290" s="792" t="s">
        <v>256</v>
      </c>
      <c r="G290" s="793" t="s">
        <v>257</v>
      </c>
      <c r="S290" s="796">
        <f t="shared" si="42"/>
        <v>0</v>
      </c>
      <c r="AB290" s="84">
        <f t="shared" si="39"/>
        <v>0</v>
      </c>
    </row>
    <row r="291" spans="3:28" ht="30" hidden="1" x14ac:dyDescent="0.25">
      <c r="F291" s="792" t="s">
        <v>258</v>
      </c>
      <c r="G291" s="793" t="s">
        <v>259</v>
      </c>
      <c r="S291" s="796">
        <f t="shared" si="42"/>
        <v>0</v>
      </c>
      <c r="AB291" s="84">
        <f t="shared" si="39"/>
        <v>0</v>
      </c>
    </row>
    <row r="292" spans="3:28" ht="30" hidden="1" x14ac:dyDescent="0.25">
      <c r="F292" s="792" t="s">
        <v>260</v>
      </c>
      <c r="G292" s="793" t="s">
        <v>261</v>
      </c>
      <c r="S292" s="796">
        <f t="shared" si="42"/>
        <v>0</v>
      </c>
      <c r="AB292" s="84">
        <f t="shared" si="39"/>
        <v>0</v>
      </c>
    </row>
    <row r="293" spans="3:28" ht="15.75" hidden="1" thickBot="1" x14ac:dyDescent="0.3">
      <c r="F293" s="792" t="s">
        <v>262</v>
      </c>
      <c r="G293" s="793" t="s">
        <v>263</v>
      </c>
      <c r="H293" s="794"/>
      <c r="I293" s="794"/>
      <c r="J293" s="795"/>
      <c r="K293" s="794"/>
      <c r="L293" s="796"/>
      <c r="M293" s="796"/>
      <c r="N293" s="797"/>
      <c r="O293" s="796"/>
      <c r="P293" s="796"/>
      <c r="Q293" s="796"/>
      <c r="R293" s="797"/>
      <c r="S293" s="796">
        <f t="shared" si="42"/>
        <v>0</v>
      </c>
      <c r="AB293" s="84">
        <f t="shared" si="39"/>
        <v>0</v>
      </c>
    </row>
    <row r="294" spans="3:28" ht="15.75" collapsed="1" thickBot="1" x14ac:dyDescent="0.3">
      <c r="G294" s="798" t="s">
        <v>4913</v>
      </c>
      <c r="H294" s="799">
        <f>SUM(H278:H293)</f>
        <v>6871725</v>
      </c>
      <c r="I294" s="799">
        <f t="shared" ref="I294:S294" si="43">SUM(I278:I293)</f>
        <v>4715330.4800000004</v>
      </c>
      <c r="J294" s="800">
        <f t="shared" si="43"/>
        <v>0.68619312909058505</v>
      </c>
      <c r="K294" s="799">
        <f t="shared" si="43"/>
        <v>2156394.5199999996</v>
      </c>
      <c r="L294" s="801">
        <f t="shared" si="43"/>
        <v>0</v>
      </c>
      <c r="M294" s="801">
        <f t="shared" si="43"/>
        <v>0</v>
      </c>
      <c r="N294" s="802"/>
      <c r="O294" s="801">
        <f t="shared" si="43"/>
        <v>0</v>
      </c>
      <c r="P294" s="801">
        <f t="shared" si="43"/>
        <v>6871725</v>
      </c>
      <c r="Q294" s="801">
        <f t="shared" si="43"/>
        <v>4715330.4800000004</v>
      </c>
      <c r="R294" s="802">
        <f t="shared" si="43"/>
        <v>0.68619312909058505</v>
      </c>
      <c r="S294" s="801">
        <f t="shared" si="43"/>
        <v>2156394.5199999996</v>
      </c>
      <c r="AB294" s="84">
        <f t="shared" si="39"/>
        <v>0</v>
      </c>
    </row>
    <row r="295" spans="3:28" x14ac:dyDescent="0.25">
      <c r="AB295" s="84">
        <f t="shared" si="39"/>
        <v>0</v>
      </c>
    </row>
    <row r="296" spans="3:28" hidden="1" x14ac:dyDescent="0.25">
      <c r="C296" s="761" t="s">
        <v>5023</v>
      </c>
      <c r="D296" s="770"/>
      <c r="G296" s="938" t="s">
        <v>5024</v>
      </c>
      <c r="AB296" s="84">
        <f t="shared" si="39"/>
        <v>0</v>
      </c>
    </row>
    <row r="297" spans="3:28" ht="30" hidden="1" x14ac:dyDescent="0.25">
      <c r="C297" s="761"/>
      <c r="D297" s="778">
        <v>110</v>
      </c>
      <c r="E297" s="779"/>
      <c r="F297" s="778"/>
      <c r="G297" s="780" t="s">
        <v>106</v>
      </c>
      <c r="AB297" s="84">
        <f t="shared" si="39"/>
        <v>0</v>
      </c>
    </row>
    <row r="298" spans="3:28" ht="15.75" hidden="1" thickBot="1" x14ac:dyDescent="0.3">
      <c r="E298" s="760">
        <v>27</v>
      </c>
      <c r="F298" s="782">
        <v>423</v>
      </c>
      <c r="G298" s="783" t="s">
        <v>3783</v>
      </c>
      <c r="H298" s="763">
        <v>0</v>
      </c>
      <c r="I298" s="763">
        <v>0</v>
      </c>
      <c r="J298" s="764" t="e">
        <f>I298/H298</f>
        <v>#DIV/0!</v>
      </c>
      <c r="K298" s="763">
        <f>H298-I298</f>
        <v>0</v>
      </c>
      <c r="L298" s="765">
        <v>0</v>
      </c>
      <c r="M298" s="765">
        <v>0</v>
      </c>
      <c r="O298" s="765">
        <f>SUM(O219:O278)</f>
        <v>0</v>
      </c>
      <c r="P298" s="765">
        <f>H298+L298</f>
        <v>0</v>
      </c>
      <c r="Q298" s="765">
        <f>I298+M298</f>
        <v>0</v>
      </c>
      <c r="R298" s="766" t="e">
        <f>Q298/P298</f>
        <v>#DIV/0!</v>
      </c>
      <c r="S298" s="765">
        <f>P298-Q298</f>
        <v>0</v>
      </c>
      <c r="V298" s="203">
        <v>350000</v>
      </c>
      <c r="W298" s="203">
        <v>0</v>
      </c>
      <c r="Z298" s="830">
        <f>H298-X298+Y298</f>
        <v>0</v>
      </c>
      <c r="AA298" s="831">
        <v>0</v>
      </c>
      <c r="AB298" s="84">
        <f t="shared" si="39"/>
        <v>0</v>
      </c>
    </row>
    <row r="299" spans="3:28" hidden="1" x14ac:dyDescent="0.25">
      <c r="E299" s="784"/>
      <c r="F299" s="785"/>
      <c r="G299" s="786" t="s">
        <v>4187</v>
      </c>
      <c r="H299" s="787"/>
      <c r="I299" s="787"/>
      <c r="J299" s="788"/>
      <c r="K299" s="787"/>
      <c r="L299" s="789"/>
      <c r="M299" s="789"/>
      <c r="N299" s="790"/>
      <c r="O299" s="789"/>
      <c r="P299" s="789"/>
      <c r="Q299" s="789"/>
      <c r="R299" s="790"/>
      <c r="S299" s="877"/>
      <c r="AB299" s="84">
        <f t="shared" si="39"/>
        <v>0</v>
      </c>
    </row>
    <row r="300" spans="3:28" ht="15.75" hidden="1" thickBot="1" x14ac:dyDescent="0.3">
      <c r="E300" s="791"/>
      <c r="F300" s="792" t="s">
        <v>235</v>
      </c>
      <c r="G300" s="793" t="s">
        <v>236</v>
      </c>
      <c r="H300" s="794">
        <f>SUM(H298:H298)</f>
        <v>0</v>
      </c>
      <c r="I300" s="794">
        <f>SUM(I298:I298)</f>
        <v>0</v>
      </c>
      <c r="J300" s="795" t="e">
        <f>I300/H300</f>
        <v>#DIV/0!</v>
      </c>
      <c r="K300" s="794">
        <f>SUM(K298:K298)</f>
        <v>0</v>
      </c>
      <c r="L300" s="796">
        <f>SUM(L240:L298)</f>
        <v>0</v>
      </c>
      <c r="M300" s="796">
        <f>SUM(M240:M298)</f>
        <v>0</v>
      </c>
      <c r="N300" s="797"/>
      <c r="O300" s="796">
        <f>SUM(O240:O298)</f>
        <v>0</v>
      </c>
      <c r="P300" s="796">
        <f>SUM(P298:P298)</f>
        <v>0</v>
      </c>
      <c r="Q300" s="796">
        <f>SUM(Q298:Q298)</f>
        <v>0</v>
      </c>
      <c r="R300" s="797" t="e">
        <f>Q300/P300</f>
        <v>#DIV/0!</v>
      </c>
      <c r="S300" s="796">
        <f>SUM(S298:S298)</f>
        <v>0</v>
      </c>
      <c r="AB300" s="84">
        <f t="shared" si="39"/>
        <v>0</v>
      </c>
    </row>
    <row r="301" spans="3:28" ht="15.75" hidden="1" thickBot="1" x14ac:dyDescent="0.3">
      <c r="G301" s="798" t="s">
        <v>4173</v>
      </c>
      <c r="H301" s="799">
        <f t="shared" ref="H301:M301" si="44">SUM(H300)</f>
        <v>0</v>
      </c>
      <c r="I301" s="799">
        <f t="shared" si="44"/>
        <v>0</v>
      </c>
      <c r="J301" s="800" t="e">
        <f t="shared" si="44"/>
        <v>#DIV/0!</v>
      </c>
      <c r="K301" s="799">
        <f t="shared" si="44"/>
        <v>0</v>
      </c>
      <c r="L301" s="801">
        <f t="shared" si="44"/>
        <v>0</v>
      </c>
      <c r="M301" s="801">
        <f t="shared" si="44"/>
        <v>0</v>
      </c>
      <c r="N301" s="802"/>
      <c r="O301" s="801">
        <f>SUM(O300)</f>
        <v>0</v>
      </c>
      <c r="P301" s="801">
        <f>SUM(P300)</f>
        <v>0</v>
      </c>
      <c r="Q301" s="801">
        <f>SUM(Q300)</f>
        <v>0</v>
      </c>
      <c r="R301" s="802" t="e">
        <f>SUM(R300)</f>
        <v>#DIV/0!</v>
      </c>
      <c r="S301" s="801">
        <f>SUM(S300)</f>
        <v>0</v>
      </c>
      <c r="AB301" s="84">
        <f t="shared" si="39"/>
        <v>0</v>
      </c>
    </row>
    <row r="302" spans="3:28" hidden="1" x14ac:dyDescent="0.25">
      <c r="E302" s="784"/>
      <c r="F302" s="785"/>
      <c r="G302" s="803" t="s">
        <v>5025</v>
      </c>
      <c r="H302" s="804"/>
      <c r="I302" s="805"/>
      <c r="J302" s="806"/>
      <c r="K302" s="805"/>
      <c r="L302" s="807"/>
      <c r="M302" s="808"/>
      <c r="N302" s="809"/>
      <c r="O302" s="808"/>
      <c r="P302" s="808"/>
      <c r="Q302" s="808"/>
      <c r="R302" s="809"/>
      <c r="S302" s="878"/>
      <c r="AB302" s="84">
        <f t="shared" si="39"/>
        <v>0</v>
      </c>
    </row>
    <row r="303" spans="3:28" ht="15.75" hidden="1" thickBot="1" x14ac:dyDescent="0.3">
      <c r="E303" s="791"/>
      <c r="F303" s="792" t="s">
        <v>235</v>
      </c>
      <c r="G303" s="793" t="s">
        <v>236</v>
      </c>
      <c r="H303" s="794">
        <f>H301</f>
        <v>0</v>
      </c>
      <c r="I303" s="794">
        <f>SUM(I298:I298)</f>
        <v>0</v>
      </c>
      <c r="J303" s="795" t="e">
        <f>I303/H303</f>
        <v>#DIV/0!</v>
      </c>
      <c r="K303" s="794">
        <f>SUM(K298:K298)</f>
        <v>0</v>
      </c>
      <c r="L303" s="796">
        <f>SUM(L225:L284)</f>
        <v>0</v>
      </c>
      <c r="M303" s="796">
        <f>SUM(M225:M284)</f>
        <v>0</v>
      </c>
      <c r="N303" s="797"/>
      <c r="O303" s="796">
        <f>SUM(O225:O284)</f>
        <v>0</v>
      </c>
      <c r="P303" s="796">
        <f>SUM(P298:P298)</f>
        <v>0</v>
      </c>
      <c r="Q303" s="796">
        <f>SUM(Q298:Q298)</f>
        <v>0</v>
      </c>
      <c r="R303" s="797" t="e">
        <f>Q303/P303</f>
        <v>#DIV/0!</v>
      </c>
      <c r="S303" s="796">
        <f>SUM(S298:S298)</f>
        <v>0</v>
      </c>
      <c r="AB303" s="84">
        <f t="shared" si="39"/>
        <v>0</v>
      </c>
    </row>
    <row r="304" spans="3:28" ht="15.75" hidden="1" thickBot="1" x14ac:dyDescent="0.3">
      <c r="G304" s="798" t="s">
        <v>5026</v>
      </c>
      <c r="H304" s="799">
        <f t="shared" ref="H304:M304" si="45">SUM(H303)</f>
        <v>0</v>
      </c>
      <c r="I304" s="799">
        <f t="shared" si="45"/>
        <v>0</v>
      </c>
      <c r="J304" s="800" t="e">
        <f t="shared" si="45"/>
        <v>#DIV/0!</v>
      </c>
      <c r="K304" s="799">
        <f t="shared" si="45"/>
        <v>0</v>
      </c>
      <c r="L304" s="801">
        <f t="shared" si="45"/>
        <v>0</v>
      </c>
      <c r="M304" s="801">
        <f t="shared" si="45"/>
        <v>0</v>
      </c>
      <c r="N304" s="802"/>
      <c r="O304" s="801">
        <f>SUM(O303)</f>
        <v>0</v>
      </c>
      <c r="P304" s="801">
        <f>SUM(P303)</f>
        <v>0</v>
      </c>
      <c r="Q304" s="801">
        <f>SUM(Q303)</f>
        <v>0</v>
      </c>
      <c r="R304" s="802" t="e">
        <f>SUM(R303)</f>
        <v>#DIV/0!</v>
      </c>
      <c r="S304" s="801">
        <f>SUM(S303)</f>
        <v>0</v>
      </c>
      <c r="AB304" s="84">
        <f t="shared" si="39"/>
        <v>0</v>
      </c>
    </row>
    <row r="305" spans="5:28" hidden="1" x14ac:dyDescent="0.25">
      <c r="AB305" s="84">
        <f t="shared" si="39"/>
        <v>0</v>
      </c>
    </row>
    <row r="306" spans="5:28" hidden="1" x14ac:dyDescent="0.25">
      <c r="E306" s="784"/>
      <c r="F306" s="785"/>
      <c r="G306" s="821" t="s">
        <v>4910</v>
      </c>
      <c r="H306" s="822"/>
      <c r="I306" s="822"/>
      <c r="J306" s="823"/>
      <c r="K306" s="822"/>
      <c r="L306" s="824"/>
      <c r="M306" s="824"/>
      <c r="N306" s="825"/>
      <c r="O306" s="824"/>
      <c r="P306" s="824"/>
      <c r="Q306" s="824"/>
      <c r="R306" s="825"/>
      <c r="S306" s="880"/>
      <c r="AB306" s="84">
        <f t="shared" si="39"/>
        <v>0</v>
      </c>
    </row>
    <row r="307" spans="5:28" ht="15.75" hidden="1" thickBot="1" x14ac:dyDescent="0.3">
      <c r="E307" s="791"/>
      <c r="F307" s="792" t="s">
        <v>235</v>
      </c>
      <c r="G307" s="793" t="s">
        <v>236</v>
      </c>
      <c r="H307" s="794">
        <f>SUM(H278+H303)</f>
        <v>6871725</v>
      </c>
      <c r="I307" s="794">
        <f>SUM(I278+I303)</f>
        <v>4715330.4800000004</v>
      </c>
      <c r="J307" s="795">
        <f>I307/H307</f>
        <v>0.68619312909058505</v>
      </c>
      <c r="K307" s="794">
        <f>SUM(K278+K303)</f>
        <v>2156394.5199999996</v>
      </c>
      <c r="L307" s="796">
        <f>SUM(L278)</f>
        <v>0</v>
      </c>
      <c r="M307" s="796">
        <f>SUM(M278+M303)</f>
        <v>0</v>
      </c>
      <c r="N307" s="797"/>
      <c r="O307" s="796">
        <f>SUM(O278+O303)</f>
        <v>0</v>
      </c>
      <c r="P307" s="796">
        <f>H307+L307</f>
        <v>6871725</v>
      </c>
      <c r="Q307" s="796">
        <f>I307+M307</f>
        <v>4715330.4800000004</v>
      </c>
      <c r="R307" s="797">
        <f>Q307/P307</f>
        <v>0.68619312909058505</v>
      </c>
      <c r="S307" s="796">
        <f>P307-Q307</f>
        <v>2156394.5199999996</v>
      </c>
      <c r="AB307" s="84">
        <f t="shared" si="39"/>
        <v>0</v>
      </c>
    </row>
    <row r="308" spans="5:28" ht="15.75" hidden="1" thickBot="1" x14ac:dyDescent="0.3">
      <c r="G308" s="798" t="s">
        <v>4911</v>
      </c>
      <c r="H308" s="799">
        <f t="shared" ref="H308:M308" si="46">SUM(H307:H307)</f>
        <v>6871725</v>
      </c>
      <c r="I308" s="799">
        <f t="shared" si="46"/>
        <v>4715330.4800000004</v>
      </c>
      <c r="J308" s="800">
        <f t="shared" si="46"/>
        <v>0.68619312909058505</v>
      </c>
      <c r="K308" s="799">
        <f t="shared" si="46"/>
        <v>2156394.5199999996</v>
      </c>
      <c r="L308" s="801">
        <f t="shared" si="46"/>
        <v>0</v>
      </c>
      <c r="M308" s="801">
        <f t="shared" si="46"/>
        <v>0</v>
      </c>
      <c r="N308" s="802"/>
      <c r="O308" s="801">
        <f>SUM(O307:O307)</f>
        <v>0</v>
      </c>
      <c r="P308" s="801">
        <f>SUM(P307:P307)</f>
        <v>6871725</v>
      </c>
      <c r="Q308" s="801">
        <f>SUM(Q307:Q307)</f>
        <v>4715330.4800000004</v>
      </c>
      <c r="R308" s="802">
        <f>SUM(R307:R307)</f>
        <v>0.68619312909058505</v>
      </c>
      <c r="S308" s="801">
        <f>SUM(S307:S307)</f>
        <v>2156394.5199999996</v>
      </c>
      <c r="AB308" s="84">
        <f t="shared" si="39"/>
        <v>0</v>
      </c>
    </row>
    <row r="309" spans="5:28" x14ac:dyDescent="0.25">
      <c r="AB309" s="84">
        <f t="shared" si="39"/>
        <v>0</v>
      </c>
    </row>
    <row r="310" spans="5:28" hidden="1" x14ac:dyDescent="0.25">
      <c r="E310" s="784"/>
      <c r="F310" s="785"/>
      <c r="G310" s="821" t="s">
        <v>4764</v>
      </c>
      <c r="H310" s="822"/>
      <c r="I310" s="822"/>
      <c r="J310" s="823"/>
      <c r="K310" s="822"/>
      <c r="L310" s="824"/>
      <c r="M310" s="824"/>
      <c r="N310" s="825"/>
      <c r="O310" s="824"/>
      <c r="P310" s="824"/>
      <c r="Q310" s="824"/>
      <c r="R310" s="825"/>
      <c r="S310" s="880"/>
      <c r="AB310" s="84">
        <f t="shared" si="39"/>
        <v>0</v>
      </c>
    </row>
    <row r="311" spans="5:28" hidden="1" x14ac:dyDescent="0.25">
      <c r="E311" s="791"/>
      <c r="F311" s="792" t="s">
        <v>235</v>
      </c>
      <c r="G311" s="793" t="s">
        <v>236</v>
      </c>
      <c r="H311" s="794">
        <f>SUM(H307)</f>
        <v>6871725</v>
      </c>
      <c r="I311" s="794">
        <f t="shared" ref="I311:S311" si="47">SUM(I307)</f>
        <v>4715330.4800000004</v>
      </c>
      <c r="J311" s="795">
        <f t="shared" si="47"/>
        <v>0.68619312909058505</v>
      </c>
      <c r="K311" s="794">
        <f t="shared" si="47"/>
        <v>2156394.5199999996</v>
      </c>
      <c r="L311" s="796">
        <f t="shared" si="47"/>
        <v>0</v>
      </c>
      <c r="M311" s="796">
        <f t="shared" si="47"/>
        <v>0</v>
      </c>
      <c r="N311" s="797"/>
      <c r="O311" s="796">
        <f t="shared" si="47"/>
        <v>0</v>
      </c>
      <c r="P311" s="796">
        <f t="shared" si="47"/>
        <v>6871725</v>
      </c>
      <c r="Q311" s="796">
        <f>SUM(Q307)</f>
        <v>4715330.4800000004</v>
      </c>
      <c r="R311" s="797">
        <f t="shared" si="47"/>
        <v>0.68619312909058505</v>
      </c>
      <c r="S311" s="796">
        <f t="shared" si="47"/>
        <v>2156394.5199999996</v>
      </c>
      <c r="AB311" s="84">
        <f t="shared" si="39"/>
        <v>0</v>
      </c>
    </row>
    <row r="312" spans="5:28" hidden="1" x14ac:dyDescent="0.25">
      <c r="F312" s="792" t="s">
        <v>237</v>
      </c>
      <c r="G312" s="793" t="s">
        <v>238</v>
      </c>
      <c r="S312" s="796">
        <f t="shared" ref="S312:S326" si="48">SUM(H312:L312)</f>
        <v>0</v>
      </c>
      <c r="AB312" s="84">
        <f t="shared" si="39"/>
        <v>0</v>
      </c>
    </row>
    <row r="313" spans="5:28" hidden="1" x14ac:dyDescent="0.25">
      <c r="F313" s="792" t="s">
        <v>239</v>
      </c>
      <c r="G313" s="793" t="s">
        <v>240</v>
      </c>
      <c r="S313" s="796">
        <f t="shared" si="48"/>
        <v>0</v>
      </c>
      <c r="AB313" s="84">
        <f t="shared" si="39"/>
        <v>0</v>
      </c>
    </row>
    <row r="314" spans="5:28" hidden="1" x14ac:dyDescent="0.25">
      <c r="F314" s="792" t="s">
        <v>241</v>
      </c>
      <c r="G314" s="793" t="s">
        <v>242</v>
      </c>
      <c r="S314" s="796">
        <f t="shared" si="48"/>
        <v>0</v>
      </c>
      <c r="AB314" s="84">
        <f t="shared" si="39"/>
        <v>0</v>
      </c>
    </row>
    <row r="315" spans="5:28" hidden="1" x14ac:dyDescent="0.25">
      <c r="F315" s="792" t="s">
        <v>243</v>
      </c>
      <c r="G315" s="793" t="s">
        <v>244</v>
      </c>
      <c r="S315" s="796">
        <f t="shared" si="48"/>
        <v>0</v>
      </c>
      <c r="AB315" s="84">
        <f t="shared" si="39"/>
        <v>0</v>
      </c>
    </row>
    <row r="316" spans="5:28" hidden="1" x14ac:dyDescent="0.25">
      <c r="F316" s="792" t="s">
        <v>245</v>
      </c>
      <c r="G316" s="793" t="s">
        <v>246</v>
      </c>
      <c r="S316" s="796">
        <f t="shared" si="48"/>
        <v>0</v>
      </c>
      <c r="AB316" s="84">
        <f t="shared" si="39"/>
        <v>0</v>
      </c>
    </row>
    <row r="317" spans="5:28" hidden="1" x14ac:dyDescent="0.25">
      <c r="F317" s="792" t="s">
        <v>247</v>
      </c>
      <c r="G317" s="793" t="s">
        <v>4745</v>
      </c>
      <c r="S317" s="796">
        <f t="shared" si="48"/>
        <v>0</v>
      </c>
      <c r="AB317" s="84">
        <f t="shared" si="39"/>
        <v>0</v>
      </c>
    </row>
    <row r="318" spans="5:28" ht="30" hidden="1" x14ac:dyDescent="0.25">
      <c r="F318" s="792" t="s">
        <v>248</v>
      </c>
      <c r="G318" s="793" t="s">
        <v>4744</v>
      </c>
      <c r="S318" s="796">
        <f t="shared" si="48"/>
        <v>0</v>
      </c>
      <c r="AB318" s="84">
        <f t="shared" si="39"/>
        <v>0</v>
      </c>
    </row>
    <row r="319" spans="5:28" hidden="1" x14ac:dyDescent="0.25">
      <c r="F319" s="792" t="s">
        <v>249</v>
      </c>
      <c r="G319" s="793" t="s">
        <v>58</v>
      </c>
      <c r="S319" s="796">
        <f t="shared" si="48"/>
        <v>0</v>
      </c>
      <c r="AB319" s="84">
        <f t="shared" si="39"/>
        <v>0</v>
      </c>
    </row>
    <row r="320" spans="5:28" hidden="1" x14ac:dyDescent="0.25">
      <c r="F320" s="792" t="s">
        <v>250</v>
      </c>
      <c r="G320" s="793" t="s">
        <v>251</v>
      </c>
      <c r="S320" s="796">
        <f t="shared" si="48"/>
        <v>0</v>
      </c>
      <c r="AB320" s="84">
        <f t="shared" si="39"/>
        <v>0</v>
      </c>
    </row>
    <row r="321" spans="5:28" hidden="1" x14ac:dyDescent="0.25">
      <c r="F321" s="792" t="s">
        <v>252</v>
      </c>
      <c r="G321" s="793" t="s">
        <v>253</v>
      </c>
      <c r="S321" s="796">
        <f t="shared" si="48"/>
        <v>0</v>
      </c>
      <c r="AB321" s="84">
        <f t="shared" si="39"/>
        <v>0</v>
      </c>
    </row>
    <row r="322" spans="5:28" ht="30" hidden="1" x14ac:dyDescent="0.25">
      <c r="F322" s="792" t="s">
        <v>254</v>
      </c>
      <c r="G322" s="793" t="s">
        <v>255</v>
      </c>
      <c r="S322" s="796">
        <f t="shared" si="48"/>
        <v>0</v>
      </c>
      <c r="AB322" s="84">
        <f t="shared" si="39"/>
        <v>0</v>
      </c>
    </row>
    <row r="323" spans="5:28" hidden="1" x14ac:dyDescent="0.25">
      <c r="F323" s="792" t="s">
        <v>256</v>
      </c>
      <c r="G323" s="793" t="s">
        <v>257</v>
      </c>
      <c r="S323" s="796">
        <f t="shared" si="48"/>
        <v>0</v>
      </c>
      <c r="AB323" s="84">
        <f t="shared" si="39"/>
        <v>0</v>
      </c>
    </row>
    <row r="324" spans="5:28" ht="30" hidden="1" x14ac:dyDescent="0.25">
      <c r="F324" s="792" t="s">
        <v>258</v>
      </c>
      <c r="G324" s="793" t="s">
        <v>259</v>
      </c>
      <c r="S324" s="796">
        <f t="shared" si="48"/>
        <v>0</v>
      </c>
      <c r="AB324" s="84">
        <f t="shared" si="39"/>
        <v>0</v>
      </c>
    </row>
    <row r="325" spans="5:28" ht="30" hidden="1" x14ac:dyDescent="0.25">
      <c r="F325" s="792" t="s">
        <v>260</v>
      </c>
      <c r="G325" s="793" t="s">
        <v>261</v>
      </c>
      <c r="S325" s="796">
        <f t="shared" si="48"/>
        <v>0</v>
      </c>
      <c r="AB325" s="84">
        <f t="shared" ref="AB325:AB388" si="49">Z325-AA325</f>
        <v>0</v>
      </c>
    </row>
    <row r="326" spans="5:28" ht="15.75" hidden="1" thickBot="1" x14ac:dyDescent="0.3">
      <c r="F326" s="792" t="s">
        <v>262</v>
      </c>
      <c r="G326" s="793" t="s">
        <v>263</v>
      </c>
      <c r="H326" s="794"/>
      <c r="I326" s="794"/>
      <c r="J326" s="795"/>
      <c r="K326" s="794"/>
      <c r="L326" s="796"/>
      <c r="M326" s="796"/>
      <c r="N326" s="797"/>
      <c r="O326" s="796"/>
      <c r="P326" s="796"/>
      <c r="Q326" s="796"/>
      <c r="R326" s="797"/>
      <c r="S326" s="796">
        <f t="shared" si="48"/>
        <v>0</v>
      </c>
      <c r="AB326" s="84">
        <f t="shared" si="49"/>
        <v>0</v>
      </c>
    </row>
    <row r="327" spans="5:28" ht="15.75" hidden="1" thickBot="1" x14ac:dyDescent="0.3">
      <c r="G327" s="798" t="s">
        <v>4153</v>
      </c>
      <c r="H327" s="799">
        <f>SUM(H311:H326)</f>
        <v>6871725</v>
      </c>
      <c r="I327" s="799">
        <f t="shared" ref="I327:S327" si="50">SUM(I311:I326)</f>
        <v>4715330.4800000004</v>
      </c>
      <c r="J327" s="800">
        <f t="shared" si="50"/>
        <v>0.68619312909058505</v>
      </c>
      <c r="K327" s="799">
        <f t="shared" si="50"/>
        <v>2156394.5199999996</v>
      </c>
      <c r="L327" s="801">
        <f t="shared" si="50"/>
        <v>0</v>
      </c>
      <c r="M327" s="801">
        <f t="shared" si="50"/>
        <v>0</v>
      </c>
      <c r="N327" s="802"/>
      <c r="O327" s="801">
        <f t="shared" si="50"/>
        <v>0</v>
      </c>
      <c r="P327" s="801">
        <f t="shared" si="50"/>
        <v>6871725</v>
      </c>
      <c r="Q327" s="801">
        <f>SUM(Q311:Q326)</f>
        <v>4715330.4800000004</v>
      </c>
      <c r="R327" s="802">
        <f t="shared" si="50"/>
        <v>0.68619312909058505</v>
      </c>
      <c r="S327" s="801">
        <f t="shared" si="50"/>
        <v>2156394.5199999996</v>
      </c>
      <c r="AB327" s="84">
        <f t="shared" si="49"/>
        <v>0</v>
      </c>
    </row>
    <row r="328" spans="5:28" hidden="1" x14ac:dyDescent="0.25">
      <c r="AB328" s="84">
        <f t="shared" si="49"/>
        <v>0</v>
      </c>
    </row>
    <row r="329" spans="5:28" x14ac:dyDescent="0.25">
      <c r="E329" s="784"/>
      <c r="F329" s="785"/>
      <c r="G329" s="821" t="s">
        <v>4157</v>
      </c>
      <c r="H329" s="822"/>
      <c r="I329" s="822"/>
      <c r="J329" s="823"/>
      <c r="K329" s="822"/>
      <c r="L329" s="824"/>
      <c r="M329" s="824"/>
      <c r="N329" s="825"/>
      <c r="O329" s="824"/>
      <c r="P329" s="824"/>
      <c r="Q329" s="824"/>
      <c r="R329" s="825"/>
      <c r="S329" s="880"/>
      <c r="AB329" s="84">
        <f t="shared" si="49"/>
        <v>0</v>
      </c>
    </row>
    <row r="330" spans="5:28" ht="15.75" thickBot="1" x14ac:dyDescent="0.3">
      <c r="E330" s="791"/>
      <c r="F330" s="792" t="s">
        <v>235</v>
      </c>
      <c r="G330" s="793" t="s">
        <v>236</v>
      </c>
      <c r="H330" s="794">
        <f>SUM(H311)</f>
        <v>6871725</v>
      </c>
      <c r="I330" s="794">
        <f t="shared" ref="I330:S330" si="51">SUM(I311)</f>
        <v>4715330.4800000004</v>
      </c>
      <c r="J330" s="795">
        <f t="shared" si="51"/>
        <v>0.68619312909058505</v>
      </c>
      <c r="K330" s="794">
        <f t="shared" si="51"/>
        <v>2156394.5199999996</v>
      </c>
      <c r="L330" s="796">
        <f t="shared" si="51"/>
        <v>0</v>
      </c>
      <c r="M330" s="796">
        <f t="shared" si="51"/>
        <v>0</v>
      </c>
      <c r="N330" s="797"/>
      <c r="O330" s="796">
        <f t="shared" si="51"/>
        <v>0</v>
      </c>
      <c r="P330" s="796">
        <f t="shared" si="51"/>
        <v>6871725</v>
      </c>
      <c r="Q330" s="796">
        <f t="shared" si="51"/>
        <v>4715330.4800000004</v>
      </c>
      <c r="R330" s="797">
        <f t="shared" si="51"/>
        <v>0.68619312909058505</v>
      </c>
      <c r="S330" s="796">
        <f t="shared" si="51"/>
        <v>2156394.5199999996</v>
      </c>
      <c r="AB330" s="84">
        <f t="shared" si="49"/>
        <v>0</v>
      </c>
    </row>
    <row r="331" spans="5:28" ht="15.75" hidden="1" thickBot="1" x14ac:dyDescent="0.3">
      <c r="F331" s="792" t="s">
        <v>237</v>
      </c>
      <c r="G331" s="793" t="s">
        <v>238</v>
      </c>
      <c r="S331" s="796">
        <f t="shared" ref="S331:S345" si="52">SUM(H331:L331)</f>
        <v>0</v>
      </c>
      <c r="AB331" s="84">
        <f t="shared" si="49"/>
        <v>0</v>
      </c>
    </row>
    <row r="332" spans="5:28" ht="15.75" hidden="1" thickBot="1" x14ac:dyDescent="0.3">
      <c r="F332" s="792" t="s">
        <v>239</v>
      </c>
      <c r="G332" s="793" t="s">
        <v>240</v>
      </c>
      <c r="S332" s="796">
        <f t="shared" si="52"/>
        <v>0</v>
      </c>
      <c r="AB332" s="84">
        <f t="shared" si="49"/>
        <v>0</v>
      </c>
    </row>
    <row r="333" spans="5:28" ht="15.75" hidden="1" thickBot="1" x14ac:dyDescent="0.3">
      <c r="F333" s="792" t="s">
        <v>241</v>
      </c>
      <c r="G333" s="793" t="s">
        <v>242</v>
      </c>
      <c r="S333" s="796">
        <f t="shared" si="52"/>
        <v>0</v>
      </c>
      <c r="AB333" s="84">
        <f t="shared" si="49"/>
        <v>0</v>
      </c>
    </row>
    <row r="334" spans="5:28" ht="15.75" hidden="1" thickBot="1" x14ac:dyDescent="0.3">
      <c r="F334" s="792" t="s">
        <v>243</v>
      </c>
      <c r="G334" s="793" t="s">
        <v>244</v>
      </c>
      <c r="S334" s="796">
        <f t="shared" si="52"/>
        <v>0</v>
      </c>
      <c r="AB334" s="84">
        <f t="shared" si="49"/>
        <v>0</v>
      </c>
    </row>
    <row r="335" spans="5:28" ht="15.75" hidden="1" thickBot="1" x14ac:dyDescent="0.3">
      <c r="F335" s="792" t="s">
        <v>245</v>
      </c>
      <c r="G335" s="793" t="s">
        <v>246</v>
      </c>
      <c r="S335" s="796">
        <f t="shared" si="52"/>
        <v>0</v>
      </c>
      <c r="AB335" s="84">
        <f t="shared" si="49"/>
        <v>0</v>
      </c>
    </row>
    <row r="336" spans="5:28" ht="15.75" hidden="1" thickBot="1" x14ac:dyDescent="0.3">
      <c r="F336" s="792" t="s">
        <v>247</v>
      </c>
      <c r="G336" s="793" t="s">
        <v>4745</v>
      </c>
      <c r="S336" s="796">
        <f t="shared" si="52"/>
        <v>0</v>
      </c>
      <c r="AB336" s="84">
        <f t="shared" si="49"/>
        <v>0</v>
      </c>
    </row>
    <row r="337" spans="1:31" ht="30.75" hidden="1" thickBot="1" x14ac:dyDescent="0.3">
      <c r="F337" s="792" t="s">
        <v>248</v>
      </c>
      <c r="G337" s="793" t="s">
        <v>4744</v>
      </c>
      <c r="S337" s="796">
        <f t="shared" si="52"/>
        <v>0</v>
      </c>
      <c r="AB337" s="84">
        <f t="shared" si="49"/>
        <v>0</v>
      </c>
    </row>
    <row r="338" spans="1:31" ht="15.75" hidden="1" thickBot="1" x14ac:dyDescent="0.3">
      <c r="F338" s="792" t="s">
        <v>249</v>
      </c>
      <c r="G338" s="793" t="s">
        <v>58</v>
      </c>
      <c r="S338" s="796">
        <f t="shared" si="52"/>
        <v>0</v>
      </c>
      <c r="AB338" s="84">
        <f t="shared" si="49"/>
        <v>0</v>
      </c>
    </row>
    <row r="339" spans="1:31" ht="15.75" hidden="1" thickBot="1" x14ac:dyDescent="0.3">
      <c r="F339" s="792" t="s">
        <v>250</v>
      </c>
      <c r="G339" s="793" t="s">
        <v>251</v>
      </c>
      <c r="S339" s="796">
        <f t="shared" si="52"/>
        <v>0</v>
      </c>
      <c r="AB339" s="84">
        <f t="shared" si="49"/>
        <v>0</v>
      </c>
    </row>
    <row r="340" spans="1:31" ht="15.75" hidden="1" thickBot="1" x14ac:dyDescent="0.3">
      <c r="F340" s="792" t="s">
        <v>252</v>
      </c>
      <c r="G340" s="793" t="s">
        <v>253</v>
      </c>
      <c r="S340" s="796">
        <f t="shared" si="52"/>
        <v>0</v>
      </c>
      <c r="AB340" s="84">
        <f t="shared" si="49"/>
        <v>0</v>
      </c>
    </row>
    <row r="341" spans="1:31" ht="30.75" hidden="1" thickBot="1" x14ac:dyDescent="0.3">
      <c r="F341" s="792" t="s">
        <v>254</v>
      </c>
      <c r="G341" s="793" t="s">
        <v>255</v>
      </c>
      <c r="S341" s="796">
        <f t="shared" si="52"/>
        <v>0</v>
      </c>
      <c r="AB341" s="84">
        <f t="shared" si="49"/>
        <v>0</v>
      </c>
    </row>
    <row r="342" spans="1:31" ht="15.75" hidden="1" thickBot="1" x14ac:dyDescent="0.3">
      <c r="F342" s="792" t="s">
        <v>256</v>
      </c>
      <c r="G342" s="793" t="s">
        <v>257</v>
      </c>
      <c r="S342" s="796">
        <f t="shared" si="52"/>
        <v>0</v>
      </c>
      <c r="AB342" s="84">
        <f t="shared" si="49"/>
        <v>0</v>
      </c>
    </row>
    <row r="343" spans="1:31" ht="30.75" hidden="1" thickBot="1" x14ac:dyDescent="0.3">
      <c r="F343" s="792" t="s">
        <v>258</v>
      </c>
      <c r="G343" s="793" t="s">
        <v>259</v>
      </c>
      <c r="S343" s="796">
        <f t="shared" si="52"/>
        <v>0</v>
      </c>
      <c r="AB343" s="84">
        <f t="shared" si="49"/>
        <v>0</v>
      </c>
    </row>
    <row r="344" spans="1:31" ht="30.75" hidden="1" thickBot="1" x14ac:dyDescent="0.3">
      <c r="F344" s="792" t="s">
        <v>260</v>
      </c>
      <c r="G344" s="793" t="s">
        <v>261</v>
      </c>
      <c r="S344" s="796">
        <f t="shared" si="52"/>
        <v>0</v>
      </c>
      <c r="AB344" s="84">
        <f t="shared" si="49"/>
        <v>0</v>
      </c>
    </row>
    <row r="345" spans="1:31" ht="15.75" hidden="1" thickBot="1" x14ac:dyDescent="0.3">
      <c r="F345" s="792" t="s">
        <v>262</v>
      </c>
      <c r="G345" s="793" t="s">
        <v>263</v>
      </c>
      <c r="H345" s="794"/>
      <c r="I345" s="794"/>
      <c r="J345" s="795"/>
      <c r="K345" s="794"/>
      <c r="L345" s="796"/>
      <c r="M345" s="796"/>
      <c r="N345" s="797"/>
      <c r="O345" s="796"/>
      <c r="P345" s="796"/>
      <c r="Q345" s="796"/>
      <c r="R345" s="797"/>
      <c r="S345" s="796">
        <f t="shared" si="52"/>
        <v>0</v>
      </c>
      <c r="AB345" s="84">
        <f t="shared" si="49"/>
        <v>0</v>
      </c>
    </row>
    <row r="346" spans="1:31" ht="15.75" thickBot="1" x14ac:dyDescent="0.3">
      <c r="G346" s="798" t="s">
        <v>4158</v>
      </c>
      <c r="H346" s="799">
        <f>SUM(H330:H345)</f>
        <v>6871725</v>
      </c>
      <c r="I346" s="799">
        <f t="shared" ref="I346:S346" si="53">SUM(I330:I345)</f>
        <v>4715330.4800000004</v>
      </c>
      <c r="J346" s="800">
        <f t="shared" si="53"/>
        <v>0.68619312909058505</v>
      </c>
      <c r="K346" s="799">
        <f t="shared" si="53"/>
        <v>2156394.5199999996</v>
      </c>
      <c r="L346" s="801">
        <f t="shared" si="53"/>
        <v>0</v>
      </c>
      <c r="M346" s="801">
        <f t="shared" si="53"/>
        <v>0</v>
      </c>
      <c r="N346" s="802"/>
      <c r="O346" s="801">
        <f t="shared" si="53"/>
        <v>0</v>
      </c>
      <c r="P346" s="801">
        <f t="shared" si="53"/>
        <v>6871725</v>
      </c>
      <c r="Q346" s="801">
        <f t="shared" si="53"/>
        <v>4715330.4800000004</v>
      </c>
      <c r="R346" s="802">
        <f t="shared" si="53"/>
        <v>0.68619312909058505</v>
      </c>
      <c r="S346" s="801">
        <f t="shared" si="53"/>
        <v>2156394.5199999996</v>
      </c>
      <c r="AB346" s="84">
        <f t="shared" si="49"/>
        <v>0</v>
      </c>
    </row>
    <row r="347" spans="1:31" x14ac:dyDescent="0.25">
      <c r="AB347" s="84">
        <f t="shared" si="49"/>
        <v>0</v>
      </c>
    </row>
    <row r="348" spans="1:31" s="948" customFormat="1" ht="14.25" x14ac:dyDescent="0.2">
      <c r="A348" s="859">
        <v>3</v>
      </c>
      <c r="B348" s="860"/>
      <c r="C348" s="939"/>
      <c r="D348" s="859"/>
      <c r="E348" s="860"/>
      <c r="F348" s="859"/>
      <c r="G348" s="940" t="s">
        <v>4769</v>
      </c>
      <c r="H348" s="941"/>
      <c r="I348" s="941"/>
      <c r="J348" s="942"/>
      <c r="K348" s="941"/>
      <c r="L348" s="943"/>
      <c r="M348" s="943"/>
      <c r="N348" s="944"/>
      <c r="O348" s="943"/>
      <c r="P348" s="943"/>
      <c r="Q348" s="945"/>
      <c r="R348" s="946"/>
      <c r="S348" s="945"/>
      <c r="T348" s="947"/>
      <c r="V348" s="949"/>
      <c r="W348" s="949"/>
      <c r="X348" s="950"/>
      <c r="Y348" s="951"/>
      <c r="Z348" s="830"/>
      <c r="AA348" s="831"/>
      <c r="AB348" s="948">
        <f t="shared" si="49"/>
        <v>0</v>
      </c>
      <c r="AE348" s="952"/>
    </row>
    <row r="349" spans="1:31" ht="15" hidden="1" customHeight="1" x14ac:dyDescent="0.25">
      <c r="A349" s="953">
        <v>3</v>
      </c>
      <c r="B349" s="954" t="s">
        <v>4770</v>
      </c>
      <c r="C349" s="955"/>
      <c r="D349" s="953"/>
      <c r="E349" s="954"/>
      <c r="F349" s="956"/>
      <c r="G349" s="940" t="s">
        <v>4769</v>
      </c>
      <c r="H349" s="957"/>
      <c r="I349" s="957"/>
      <c r="J349" s="958"/>
      <c r="K349" s="957"/>
      <c r="L349" s="867"/>
      <c r="M349" s="867"/>
      <c r="N349" s="868"/>
      <c r="O349" s="867"/>
      <c r="P349" s="867"/>
      <c r="Q349" s="867"/>
      <c r="R349" s="868"/>
      <c r="S349" s="959"/>
      <c r="AB349" s="84">
        <f t="shared" si="49"/>
        <v>0</v>
      </c>
    </row>
    <row r="350" spans="1:31" s="204" customFormat="1" x14ac:dyDescent="0.25">
      <c r="A350" s="881"/>
      <c r="B350" s="882"/>
      <c r="C350" s="883" t="s">
        <v>4914</v>
      </c>
      <c r="D350" s="884"/>
      <c r="E350" s="885"/>
      <c r="F350" s="884"/>
      <c r="G350" s="886" t="s">
        <v>4771</v>
      </c>
      <c r="H350" s="887"/>
      <c r="I350" s="887"/>
      <c r="J350" s="888"/>
      <c r="K350" s="887"/>
      <c r="L350" s="889"/>
      <c r="M350" s="889"/>
      <c r="N350" s="890"/>
      <c r="O350" s="889"/>
      <c r="P350" s="889"/>
      <c r="Q350" s="889"/>
      <c r="R350" s="890"/>
      <c r="S350" s="891"/>
      <c r="T350" s="873"/>
      <c r="V350" s="892"/>
      <c r="W350" s="892"/>
      <c r="X350" s="833"/>
      <c r="Y350" s="834"/>
      <c r="Z350" s="830"/>
      <c r="AA350" s="831"/>
      <c r="AB350" s="204">
        <f t="shared" si="49"/>
        <v>0</v>
      </c>
    </row>
    <row r="351" spans="1:31" s="204" customFormat="1" x14ac:dyDescent="0.25">
      <c r="A351" s="881"/>
      <c r="B351" s="882"/>
      <c r="C351" s="893" t="s">
        <v>4929</v>
      </c>
      <c r="D351" s="894"/>
      <c r="E351" s="895"/>
      <c r="F351" s="896"/>
      <c r="G351" s="897" t="s">
        <v>4916</v>
      </c>
      <c r="H351" s="887"/>
      <c r="I351" s="887"/>
      <c r="J351" s="888"/>
      <c r="K351" s="887"/>
      <c r="L351" s="889"/>
      <c r="M351" s="889"/>
      <c r="N351" s="890"/>
      <c r="O351" s="889"/>
      <c r="P351" s="889"/>
      <c r="Q351" s="889"/>
      <c r="R351" s="890"/>
      <c r="S351" s="891"/>
      <c r="T351" s="873"/>
      <c r="V351" s="892"/>
      <c r="W351" s="892"/>
      <c r="X351" s="833"/>
      <c r="Y351" s="834"/>
      <c r="Z351" s="830"/>
      <c r="AA351" s="831"/>
      <c r="AB351" s="204">
        <f t="shared" si="49"/>
        <v>0</v>
      </c>
    </row>
    <row r="352" spans="1:31" s="204" customFormat="1" x14ac:dyDescent="0.25">
      <c r="A352" s="881"/>
      <c r="B352" s="882"/>
      <c r="C352" s="883"/>
      <c r="D352" s="898">
        <v>640</v>
      </c>
      <c r="E352" s="899"/>
      <c r="F352" s="898"/>
      <c r="G352" s="900" t="s">
        <v>185</v>
      </c>
      <c r="H352" s="887"/>
      <c r="I352" s="887"/>
      <c r="J352" s="888"/>
      <c r="K352" s="887"/>
      <c r="L352" s="889"/>
      <c r="M352" s="889"/>
      <c r="N352" s="890"/>
      <c r="O352" s="889"/>
      <c r="P352" s="889"/>
      <c r="Q352" s="889"/>
      <c r="R352" s="890"/>
      <c r="S352" s="891"/>
      <c r="T352" s="873"/>
      <c r="V352" s="892"/>
      <c r="W352" s="892"/>
      <c r="X352" s="833"/>
      <c r="Y352" s="834"/>
      <c r="Z352" s="830"/>
      <c r="AA352" s="831"/>
      <c r="AB352" s="204">
        <f t="shared" si="49"/>
        <v>0</v>
      </c>
    </row>
    <row r="353" spans="1:31" s="204" customFormat="1" x14ac:dyDescent="0.25">
      <c r="A353" s="881"/>
      <c r="B353" s="882"/>
      <c r="C353" s="901"/>
      <c r="D353" s="881"/>
      <c r="E353" s="960">
        <v>18</v>
      </c>
      <c r="F353" s="903">
        <v>421</v>
      </c>
      <c r="G353" s="904" t="s">
        <v>3781</v>
      </c>
      <c r="H353" s="887">
        <v>11875225</v>
      </c>
      <c r="I353" s="887">
        <f>9789250.58+561293.84</f>
        <v>10350544.42</v>
      </c>
      <c r="J353" s="888">
        <f>I353/H353</f>
        <v>0.8716082785799848</v>
      </c>
      <c r="K353" s="887">
        <f>H353-I353</f>
        <v>1524680.58</v>
      </c>
      <c r="L353" s="889">
        <v>0</v>
      </c>
      <c r="M353" s="889">
        <v>1135477.71</v>
      </c>
      <c r="N353" s="890" t="e">
        <f>M353/L353</f>
        <v>#DIV/0!</v>
      </c>
      <c r="O353" s="889">
        <f>L353-M353</f>
        <v>-1135477.71</v>
      </c>
      <c r="P353" s="889">
        <f t="shared" ref="P353:Q355" si="54">L353+H353</f>
        <v>11875225</v>
      </c>
      <c r="Q353" s="889">
        <f>M353+I353</f>
        <v>11486022.129999999</v>
      </c>
      <c r="R353" s="890">
        <f>Q353/P353</f>
        <v>0.96722564246151121</v>
      </c>
      <c r="S353" s="891">
        <f>P353-Q353</f>
        <v>389202.87000000104</v>
      </c>
      <c r="T353" s="905" t="s">
        <v>4936</v>
      </c>
      <c r="V353" s="892"/>
      <c r="W353" s="892"/>
      <c r="X353" s="833"/>
      <c r="Y353" s="834">
        <v>1900000</v>
      </c>
      <c r="Z353" s="830">
        <f>H353-X353+Y353</f>
        <v>13775225</v>
      </c>
      <c r="AA353" s="831">
        <v>10490000</v>
      </c>
      <c r="AB353" s="204">
        <f t="shared" si="49"/>
        <v>3285225</v>
      </c>
      <c r="AE353" s="204">
        <f>H353-AA353</f>
        <v>1385225</v>
      </c>
    </row>
    <row r="354" spans="1:31" s="204" customFormat="1" x14ac:dyDescent="0.25">
      <c r="A354" s="881"/>
      <c r="B354" s="882"/>
      <c r="C354" s="901"/>
      <c r="D354" s="881"/>
      <c r="E354" s="960">
        <v>19</v>
      </c>
      <c r="F354" s="903">
        <v>425</v>
      </c>
      <c r="G354" s="906" t="s">
        <v>4127</v>
      </c>
      <c r="H354" s="887">
        <v>6295291</v>
      </c>
      <c r="I354" s="887">
        <f>930808.32+171004.8</f>
        <v>1101813.1199999999</v>
      </c>
      <c r="J354" s="888">
        <f>I354/H354</f>
        <v>0.17502179327373427</v>
      </c>
      <c r="K354" s="887">
        <f>H354-I354</f>
        <v>5193477.88</v>
      </c>
      <c r="L354" s="889">
        <v>0</v>
      </c>
      <c r="M354" s="889">
        <v>0</v>
      </c>
      <c r="N354" s="890"/>
      <c r="O354" s="889">
        <f>L354-M354</f>
        <v>0</v>
      </c>
      <c r="P354" s="889">
        <f t="shared" si="54"/>
        <v>6295291</v>
      </c>
      <c r="Q354" s="889">
        <f t="shared" si="54"/>
        <v>1101813.1199999999</v>
      </c>
      <c r="R354" s="890">
        <f>Q354/P354</f>
        <v>0.17502179327373427</v>
      </c>
      <c r="S354" s="891">
        <f>P354-Q354</f>
        <v>5193477.88</v>
      </c>
      <c r="T354" s="873"/>
      <c r="V354" s="892"/>
      <c r="W354" s="892"/>
      <c r="X354" s="833"/>
      <c r="Y354" s="834"/>
      <c r="Z354" s="830">
        <f>H354-X354+Y354</f>
        <v>6295291</v>
      </c>
      <c r="AA354" s="831">
        <v>1500000</v>
      </c>
      <c r="AB354" s="204">
        <f t="shared" si="49"/>
        <v>4795291</v>
      </c>
      <c r="AE354" s="204">
        <f>H354-AA354</f>
        <v>4795291</v>
      </c>
    </row>
    <row r="355" spans="1:31" s="204" customFormat="1" ht="15.75" thickBot="1" x14ac:dyDescent="0.3">
      <c r="A355" s="881"/>
      <c r="B355" s="882"/>
      <c r="C355" s="901"/>
      <c r="D355" s="881"/>
      <c r="E355" s="960">
        <v>20</v>
      </c>
      <c r="F355" s="903">
        <v>444</v>
      </c>
      <c r="G355" s="906" t="s">
        <v>5008</v>
      </c>
      <c r="H355" s="887">
        <v>60000</v>
      </c>
      <c r="I355" s="887">
        <f>535673.14+50393.69</f>
        <v>586066.83000000007</v>
      </c>
      <c r="J355" s="888">
        <f>I355/H355</f>
        <v>9.7677805000000006</v>
      </c>
      <c r="K355" s="887">
        <f>H355-I355</f>
        <v>-526066.83000000007</v>
      </c>
      <c r="L355" s="889">
        <v>0</v>
      </c>
      <c r="M355" s="889">
        <v>0</v>
      </c>
      <c r="N355" s="890"/>
      <c r="O355" s="889">
        <v>0</v>
      </c>
      <c r="P355" s="889">
        <f t="shared" si="54"/>
        <v>60000</v>
      </c>
      <c r="Q355" s="889">
        <f t="shared" si="54"/>
        <v>586066.83000000007</v>
      </c>
      <c r="R355" s="890">
        <f>Q355/P355</f>
        <v>9.7677805000000006</v>
      </c>
      <c r="S355" s="891">
        <f>P355-Q355</f>
        <v>-526066.83000000007</v>
      </c>
      <c r="T355" s="873"/>
      <c r="V355" s="892"/>
      <c r="W355" s="892"/>
      <c r="X355" s="833"/>
      <c r="Y355" s="834"/>
      <c r="Z355" s="830">
        <f>H355-X355+Y355</f>
        <v>60000</v>
      </c>
      <c r="AA355" s="831">
        <v>1000000</v>
      </c>
      <c r="AB355" s="204">
        <f t="shared" si="49"/>
        <v>-940000</v>
      </c>
      <c r="AE355" s="204">
        <f>H355-AA355</f>
        <v>-940000</v>
      </c>
    </row>
    <row r="356" spans="1:31" s="204" customFormat="1" x14ac:dyDescent="0.25">
      <c r="A356" s="884"/>
      <c r="B356" s="885"/>
      <c r="C356" s="907"/>
      <c r="D356" s="884"/>
      <c r="E356" s="908"/>
      <c r="F356" s="909"/>
      <c r="G356" s="910" t="s">
        <v>4930</v>
      </c>
      <c r="H356" s="911"/>
      <c r="I356" s="911"/>
      <c r="J356" s="912"/>
      <c r="K356" s="911"/>
      <c r="L356" s="913"/>
      <c r="M356" s="913"/>
      <c r="N356" s="914"/>
      <c r="O356" s="913"/>
      <c r="P356" s="913"/>
      <c r="Q356" s="913"/>
      <c r="R356" s="914"/>
      <c r="S356" s="911"/>
      <c r="T356" s="873"/>
      <c r="V356" s="892"/>
      <c r="W356" s="892"/>
      <c r="X356" s="833"/>
      <c r="Y356" s="834"/>
      <c r="Z356" s="830"/>
      <c r="AA356" s="831"/>
      <c r="AB356" s="204">
        <f t="shared" si="49"/>
        <v>0</v>
      </c>
    </row>
    <row r="357" spans="1:31" s="204" customFormat="1" x14ac:dyDescent="0.25">
      <c r="A357" s="884"/>
      <c r="B357" s="885"/>
      <c r="C357" s="907"/>
      <c r="D357" s="884"/>
      <c r="E357" s="915"/>
      <c r="F357" s="916" t="s">
        <v>235</v>
      </c>
      <c r="G357" s="917" t="s">
        <v>236</v>
      </c>
      <c r="H357" s="887">
        <f>SUM(H353:H355)</f>
        <v>18230516</v>
      </c>
      <c r="I357" s="887">
        <f>SUM(I353:I355)</f>
        <v>12038424.369999999</v>
      </c>
      <c r="J357" s="888">
        <f>I357/H357</f>
        <v>0.66034468634897658</v>
      </c>
      <c r="K357" s="887">
        <f>SUM(K353:K355)</f>
        <v>6192091.6299999999</v>
      </c>
      <c r="L357" s="918">
        <f>SUM(L354)</f>
        <v>0</v>
      </c>
      <c r="M357" s="918">
        <f>SUM(M354)</f>
        <v>0</v>
      </c>
      <c r="N357" s="919"/>
      <c r="O357" s="918">
        <f>L357-M357</f>
        <v>0</v>
      </c>
      <c r="P357" s="918">
        <f>L357+H357</f>
        <v>18230516</v>
      </c>
      <c r="Q357" s="918">
        <f>M357+I357</f>
        <v>12038424.369999999</v>
      </c>
      <c r="R357" s="919">
        <f>Q357/P357</f>
        <v>0.66034468634897658</v>
      </c>
      <c r="S357" s="918">
        <f>P357-Q357</f>
        <v>6192091.6300000008</v>
      </c>
      <c r="T357" s="873"/>
      <c r="V357" s="892"/>
      <c r="W357" s="892"/>
      <c r="X357" s="833"/>
      <c r="Y357" s="834"/>
      <c r="Z357" s="830"/>
      <c r="AA357" s="831"/>
      <c r="AB357" s="204">
        <f t="shared" si="49"/>
        <v>0</v>
      </c>
    </row>
    <row r="358" spans="1:31" s="204" customFormat="1" hidden="1" x14ac:dyDescent="0.25">
      <c r="A358" s="884"/>
      <c r="B358" s="885"/>
      <c r="C358" s="907"/>
      <c r="D358" s="884"/>
      <c r="E358" s="885"/>
      <c r="F358" s="933" t="s">
        <v>237</v>
      </c>
      <c r="G358" s="917" t="s">
        <v>238</v>
      </c>
      <c r="H358" s="934"/>
      <c r="I358" s="934"/>
      <c r="J358" s="935"/>
      <c r="K358" s="934"/>
      <c r="L358" s="889"/>
      <c r="M358" s="889"/>
      <c r="N358" s="890" t="e">
        <f t="shared" ref="N358:N372" si="55">M358/L358</f>
        <v>#DIV/0!</v>
      </c>
      <c r="O358" s="889"/>
      <c r="P358" s="889"/>
      <c r="Q358" s="889"/>
      <c r="R358" s="890"/>
      <c r="S358" s="918">
        <f t="shared" ref="S358:S372" si="56">SUM(H358:L358)</f>
        <v>0</v>
      </c>
      <c r="T358" s="873"/>
      <c r="V358" s="892"/>
      <c r="W358" s="892"/>
      <c r="X358" s="833"/>
      <c r="Y358" s="834"/>
      <c r="Z358" s="830"/>
      <c r="AA358" s="831"/>
      <c r="AB358" s="204">
        <f t="shared" si="49"/>
        <v>0</v>
      </c>
    </row>
    <row r="359" spans="1:31" s="204" customFormat="1" hidden="1" x14ac:dyDescent="0.25">
      <c r="A359" s="884"/>
      <c r="B359" s="885"/>
      <c r="C359" s="907"/>
      <c r="D359" s="884"/>
      <c r="E359" s="885"/>
      <c r="F359" s="933" t="s">
        <v>239</v>
      </c>
      <c r="G359" s="917" t="s">
        <v>240</v>
      </c>
      <c r="H359" s="934"/>
      <c r="I359" s="934"/>
      <c r="J359" s="935"/>
      <c r="K359" s="934"/>
      <c r="L359" s="889"/>
      <c r="M359" s="889"/>
      <c r="N359" s="890" t="e">
        <f t="shared" si="55"/>
        <v>#DIV/0!</v>
      </c>
      <c r="O359" s="889"/>
      <c r="P359" s="889"/>
      <c r="Q359" s="889"/>
      <c r="R359" s="890"/>
      <c r="S359" s="918">
        <f t="shared" si="56"/>
        <v>0</v>
      </c>
      <c r="T359" s="873"/>
      <c r="V359" s="892"/>
      <c r="W359" s="892"/>
      <c r="X359" s="833"/>
      <c r="Y359" s="834"/>
      <c r="Z359" s="830"/>
      <c r="AA359" s="831"/>
      <c r="AB359" s="204">
        <f t="shared" si="49"/>
        <v>0</v>
      </c>
    </row>
    <row r="360" spans="1:31" s="204" customFormat="1" hidden="1" x14ac:dyDescent="0.25">
      <c r="A360" s="884"/>
      <c r="B360" s="885"/>
      <c r="C360" s="907"/>
      <c r="D360" s="884"/>
      <c r="E360" s="885"/>
      <c r="F360" s="933" t="s">
        <v>241</v>
      </c>
      <c r="G360" s="917" t="s">
        <v>242</v>
      </c>
      <c r="H360" s="934"/>
      <c r="I360" s="934"/>
      <c r="J360" s="935"/>
      <c r="K360" s="934"/>
      <c r="L360" s="889"/>
      <c r="M360" s="889"/>
      <c r="N360" s="890" t="e">
        <f t="shared" si="55"/>
        <v>#DIV/0!</v>
      </c>
      <c r="O360" s="889"/>
      <c r="P360" s="889"/>
      <c r="Q360" s="889"/>
      <c r="R360" s="890"/>
      <c r="S360" s="918">
        <f t="shared" si="56"/>
        <v>0</v>
      </c>
      <c r="T360" s="873"/>
      <c r="V360" s="892"/>
      <c r="W360" s="892"/>
      <c r="X360" s="833"/>
      <c r="Y360" s="834"/>
      <c r="Z360" s="830"/>
      <c r="AA360" s="831"/>
      <c r="AB360" s="204">
        <f t="shared" si="49"/>
        <v>0</v>
      </c>
    </row>
    <row r="361" spans="1:31" s="204" customFormat="1" hidden="1" x14ac:dyDescent="0.25">
      <c r="A361" s="884"/>
      <c r="B361" s="885"/>
      <c r="C361" s="907"/>
      <c r="D361" s="884"/>
      <c r="E361" s="885"/>
      <c r="F361" s="933" t="s">
        <v>243</v>
      </c>
      <c r="G361" s="917" t="s">
        <v>244</v>
      </c>
      <c r="H361" s="934"/>
      <c r="I361" s="934"/>
      <c r="J361" s="935"/>
      <c r="K361" s="934"/>
      <c r="L361" s="889"/>
      <c r="M361" s="889"/>
      <c r="N361" s="890" t="e">
        <f t="shared" si="55"/>
        <v>#DIV/0!</v>
      </c>
      <c r="O361" s="889"/>
      <c r="P361" s="889"/>
      <c r="Q361" s="889"/>
      <c r="R361" s="890"/>
      <c r="S361" s="918">
        <f t="shared" si="56"/>
        <v>0</v>
      </c>
      <c r="T361" s="873"/>
      <c r="V361" s="892"/>
      <c r="W361" s="892"/>
      <c r="X361" s="833"/>
      <c r="Y361" s="834"/>
      <c r="Z361" s="830"/>
      <c r="AA361" s="831"/>
      <c r="AB361" s="204">
        <f t="shared" si="49"/>
        <v>0</v>
      </c>
    </row>
    <row r="362" spans="1:31" s="204" customFormat="1" hidden="1" x14ac:dyDescent="0.25">
      <c r="A362" s="884"/>
      <c r="B362" s="885"/>
      <c r="C362" s="907"/>
      <c r="D362" s="884"/>
      <c r="E362" s="885"/>
      <c r="F362" s="933" t="s">
        <v>245</v>
      </c>
      <c r="G362" s="917" t="s">
        <v>246</v>
      </c>
      <c r="H362" s="934"/>
      <c r="I362" s="934"/>
      <c r="J362" s="935"/>
      <c r="K362" s="934"/>
      <c r="L362" s="889"/>
      <c r="M362" s="889"/>
      <c r="N362" s="890" t="e">
        <f t="shared" si="55"/>
        <v>#DIV/0!</v>
      </c>
      <c r="O362" s="889"/>
      <c r="P362" s="889"/>
      <c r="Q362" s="889"/>
      <c r="R362" s="890"/>
      <c r="S362" s="918">
        <f t="shared" si="56"/>
        <v>0</v>
      </c>
      <c r="T362" s="873"/>
      <c r="V362" s="892"/>
      <c r="W362" s="892"/>
      <c r="X362" s="833"/>
      <c r="Y362" s="834"/>
      <c r="Z362" s="830"/>
      <c r="AA362" s="831"/>
      <c r="AB362" s="204">
        <f t="shared" si="49"/>
        <v>0</v>
      </c>
    </row>
    <row r="363" spans="1:31" s="204" customFormat="1" hidden="1" x14ac:dyDescent="0.25">
      <c r="A363" s="884"/>
      <c r="B363" s="885"/>
      <c r="C363" s="907"/>
      <c r="D363" s="884"/>
      <c r="E363" s="885"/>
      <c r="F363" s="933" t="s">
        <v>247</v>
      </c>
      <c r="G363" s="917" t="s">
        <v>4745</v>
      </c>
      <c r="H363" s="934"/>
      <c r="I363" s="934"/>
      <c r="J363" s="935"/>
      <c r="K363" s="934"/>
      <c r="L363" s="889"/>
      <c r="M363" s="889"/>
      <c r="N363" s="890" t="e">
        <f t="shared" si="55"/>
        <v>#DIV/0!</v>
      </c>
      <c r="O363" s="889"/>
      <c r="P363" s="889"/>
      <c r="Q363" s="889"/>
      <c r="R363" s="890"/>
      <c r="S363" s="918">
        <f t="shared" si="56"/>
        <v>0</v>
      </c>
      <c r="T363" s="873"/>
      <c r="V363" s="892"/>
      <c r="W363" s="892"/>
      <c r="X363" s="833"/>
      <c r="Y363" s="834"/>
      <c r="Z363" s="830"/>
      <c r="AA363" s="831"/>
      <c r="AB363" s="204">
        <f t="shared" si="49"/>
        <v>0</v>
      </c>
    </row>
    <row r="364" spans="1:31" s="204" customFormat="1" ht="30" hidden="1" x14ac:dyDescent="0.25">
      <c r="A364" s="884"/>
      <c r="B364" s="885"/>
      <c r="C364" s="907"/>
      <c r="D364" s="884"/>
      <c r="E364" s="885"/>
      <c r="F364" s="933" t="s">
        <v>248</v>
      </c>
      <c r="G364" s="917" t="s">
        <v>4744</v>
      </c>
      <c r="H364" s="934"/>
      <c r="I364" s="934"/>
      <c r="J364" s="935"/>
      <c r="K364" s="934"/>
      <c r="L364" s="889"/>
      <c r="M364" s="889"/>
      <c r="N364" s="890" t="e">
        <f t="shared" si="55"/>
        <v>#DIV/0!</v>
      </c>
      <c r="O364" s="889"/>
      <c r="P364" s="889"/>
      <c r="Q364" s="889"/>
      <c r="R364" s="890"/>
      <c r="S364" s="918">
        <f t="shared" si="56"/>
        <v>0</v>
      </c>
      <c r="T364" s="873"/>
      <c r="V364" s="892"/>
      <c r="W364" s="892"/>
      <c r="X364" s="833"/>
      <c r="Y364" s="834"/>
      <c r="Z364" s="830"/>
      <c r="AA364" s="831"/>
      <c r="AB364" s="204">
        <f t="shared" si="49"/>
        <v>0</v>
      </c>
    </row>
    <row r="365" spans="1:31" s="204" customFormat="1" hidden="1" x14ac:dyDescent="0.25">
      <c r="A365" s="884"/>
      <c r="B365" s="885"/>
      <c r="C365" s="907"/>
      <c r="D365" s="884"/>
      <c r="E365" s="885"/>
      <c r="F365" s="933" t="s">
        <v>249</v>
      </c>
      <c r="G365" s="917" t="s">
        <v>58</v>
      </c>
      <c r="H365" s="934"/>
      <c r="I365" s="934"/>
      <c r="J365" s="935"/>
      <c r="K365" s="934"/>
      <c r="L365" s="889"/>
      <c r="M365" s="889"/>
      <c r="N365" s="890" t="e">
        <f t="shared" si="55"/>
        <v>#DIV/0!</v>
      </c>
      <c r="O365" s="889"/>
      <c r="P365" s="889"/>
      <c r="Q365" s="889"/>
      <c r="R365" s="890"/>
      <c r="S365" s="918">
        <f t="shared" si="56"/>
        <v>0</v>
      </c>
      <c r="T365" s="873"/>
      <c r="V365" s="892"/>
      <c r="W365" s="892"/>
      <c r="X365" s="833"/>
      <c r="Y365" s="834"/>
      <c r="Z365" s="830"/>
      <c r="AA365" s="831"/>
      <c r="AB365" s="204">
        <f t="shared" si="49"/>
        <v>0</v>
      </c>
    </row>
    <row r="366" spans="1:31" s="204" customFormat="1" hidden="1" x14ac:dyDescent="0.25">
      <c r="A366" s="884"/>
      <c r="B366" s="885"/>
      <c r="C366" s="907"/>
      <c r="D366" s="884"/>
      <c r="E366" s="885"/>
      <c r="F366" s="916" t="s">
        <v>235</v>
      </c>
      <c r="G366" s="917" t="s">
        <v>236</v>
      </c>
      <c r="H366" s="934"/>
      <c r="I366" s="934"/>
      <c r="J366" s="935"/>
      <c r="K366" s="934"/>
      <c r="L366" s="889"/>
      <c r="M366" s="889"/>
      <c r="N366" s="890" t="e">
        <f t="shared" si="55"/>
        <v>#DIV/0!</v>
      </c>
      <c r="O366" s="889"/>
      <c r="P366" s="889"/>
      <c r="Q366" s="889"/>
      <c r="R366" s="890"/>
      <c r="S366" s="918">
        <f t="shared" si="56"/>
        <v>0</v>
      </c>
      <c r="T366" s="873"/>
      <c r="V366" s="892"/>
      <c r="W366" s="892"/>
      <c r="X366" s="833"/>
      <c r="Y366" s="834"/>
      <c r="Z366" s="830"/>
      <c r="AA366" s="831"/>
      <c r="AB366" s="204">
        <f t="shared" si="49"/>
        <v>0</v>
      </c>
    </row>
    <row r="367" spans="1:31" s="204" customFormat="1" hidden="1" x14ac:dyDescent="0.25">
      <c r="A367" s="884"/>
      <c r="B367" s="885"/>
      <c r="C367" s="907"/>
      <c r="D367" s="884"/>
      <c r="E367" s="885"/>
      <c r="F367" s="933" t="s">
        <v>252</v>
      </c>
      <c r="G367" s="917" t="s">
        <v>253</v>
      </c>
      <c r="H367" s="934"/>
      <c r="I367" s="934"/>
      <c r="J367" s="935"/>
      <c r="K367" s="934"/>
      <c r="L367" s="889"/>
      <c r="M367" s="889"/>
      <c r="N367" s="890" t="e">
        <f t="shared" si="55"/>
        <v>#DIV/0!</v>
      </c>
      <c r="O367" s="889"/>
      <c r="P367" s="889"/>
      <c r="Q367" s="889"/>
      <c r="R367" s="890"/>
      <c r="S367" s="918">
        <f t="shared" si="56"/>
        <v>0</v>
      </c>
      <c r="T367" s="873"/>
      <c r="V367" s="892"/>
      <c r="W367" s="892"/>
      <c r="X367" s="833"/>
      <c r="Y367" s="834"/>
      <c r="Z367" s="830"/>
      <c r="AA367" s="831"/>
      <c r="AB367" s="204">
        <f t="shared" si="49"/>
        <v>0</v>
      </c>
    </row>
    <row r="368" spans="1:31" s="204" customFormat="1" ht="30" hidden="1" x14ac:dyDescent="0.25">
      <c r="A368" s="884"/>
      <c r="B368" s="885"/>
      <c r="C368" s="907"/>
      <c r="D368" s="884"/>
      <c r="E368" s="885"/>
      <c r="F368" s="933" t="s">
        <v>254</v>
      </c>
      <c r="G368" s="917" t="s">
        <v>255</v>
      </c>
      <c r="H368" s="934"/>
      <c r="I368" s="934"/>
      <c r="J368" s="935"/>
      <c r="K368" s="934"/>
      <c r="L368" s="889"/>
      <c r="M368" s="889"/>
      <c r="N368" s="890" t="e">
        <f t="shared" si="55"/>
        <v>#DIV/0!</v>
      </c>
      <c r="O368" s="889"/>
      <c r="P368" s="889"/>
      <c r="Q368" s="889"/>
      <c r="R368" s="890"/>
      <c r="S368" s="918">
        <f t="shared" si="56"/>
        <v>0</v>
      </c>
      <c r="T368" s="873"/>
      <c r="V368" s="892"/>
      <c r="W368" s="892"/>
      <c r="X368" s="833"/>
      <c r="Y368" s="834"/>
      <c r="Z368" s="830"/>
      <c r="AA368" s="831"/>
      <c r="AB368" s="204">
        <f t="shared" si="49"/>
        <v>0</v>
      </c>
    </row>
    <row r="369" spans="1:28" s="204" customFormat="1" ht="15.75" thickBot="1" x14ac:dyDescent="0.3">
      <c r="A369" s="884"/>
      <c r="B369" s="885"/>
      <c r="C369" s="907"/>
      <c r="D369" s="884"/>
      <c r="E369" s="885"/>
      <c r="F369" s="933" t="s">
        <v>256</v>
      </c>
      <c r="G369" s="917" t="s">
        <v>257</v>
      </c>
      <c r="H369" s="934">
        <v>0</v>
      </c>
      <c r="I369" s="934">
        <v>0</v>
      </c>
      <c r="J369" s="935"/>
      <c r="K369" s="934">
        <v>0</v>
      </c>
      <c r="L369" s="889">
        <f>SUM(L353:L355)</f>
        <v>0</v>
      </c>
      <c r="M369" s="889">
        <f>SUM(M353:M355)</f>
        <v>1135477.71</v>
      </c>
      <c r="N369" s="890" t="e">
        <f>M369/L369</f>
        <v>#DIV/0!</v>
      </c>
      <c r="O369" s="889">
        <f>L369-M369</f>
        <v>-1135477.71</v>
      </c>
      <c r="P369" s="889">
        <f>L369+H369</f>
        <v>0</v>
      </c>
      <c r="Q369" s="889">
        <f>M369+I369</f>
        <v>1135477.71</v>
      </c>
      <c r="R369" s="890" t="e">
        <f>Q369/P369</f>
        <v>#DIV/0!</v>
      </c>
      <c r="S369" s="918">
        <f>P369-Q369</f>
        <v>-1135477.71</v>
      </c>
      <c r="T369" s="873"/>
      <c r="V369" s="892"/>
      <c r="W369" s="892"/>
      <c r="X369" s="833"/>
      <c r="Y369" s="834"/>
      <c r="Z369" s="830"/>
      <c r="AA369" s="831"/>
      <c r="AB369" s="204">
        <f t="shared" si="49"/>
        <v>0</v>
      </c>
    </row>
    <row r="370" spans="1:28" s="204" customFormat="1" ht="30.75" hidden="1" thickBot="1" x14ac:dyDescent="0.3">
      <c r="A370" s="884"/>
      <c r="B370" s="885"/>
      <c r="C370" s="907"/>
      <c r="D370" s="884"/>
      <c r="E370" s="885"/>
      <c r="F370" s="933" t="s">
        <v>258</v>
      </c>
      <c r="G370" s="917" t="s">
        <v>259</v>
      </c>
      <c r="H370" s="934"/>
      <c r="I370" s="934"/>
      <c r="J370" s="935"/>
      <c r="K370" s="934"/>
      <c r="L370" s="889"/>
      <c r="M370" s="889"/>
      <c r="N370" s="890" t="e">
        <f t="shared" si="55"/>
        <v>#DIV/0!</v>
      </c>
      <c r="O370" s="889"/>
      <c r="P370" s="889"/>
      <c r="Q370" s="889"/>
      <c r="R370" s="890"/>
      <c r="S370" s="918">
        <f t="shared" si="56"/>
        <v>0</v>
      </c>
      <c r="T370" s="873"/>
      <c r="V370" s="892"/>
      <c r="W370" s="892"/>
      <c r="X370" s="833"/>
      <c r="Y370" s="834"/>
      <c r="Z370" s="830"/>
      <c r="AA370" s="831"/>
      <c r="AB370" s="204">
        <f t="shared" si="49"/>
        <v>0</v>
      </c>
    </row>
    <row r="371" spans="1:28" s="204" customFormat="1" ht="30.75" hidden="1" thickBot="1" x14ac:dyDescent="0.3">
      <c r="A371" s="884"/>
      <c r="B371" s="885"/>
      <c r="C371" s="907"/>
      <c r="D371" s="884"/>
      <c r="E371" s="885"/>
      <c r="F371" s="933" t="s">
        <v>260</v>
      </c>
      <c r="G371" s="917" t="s">
        <v>261</v>
      </c>
      <c r="H371" s="934"/>
      <c r="I371" s="934"/>
      <c r="J371" s="935"/>
      <c r="K371" s="934"/>
      <c r="L371" s="889"/>
      <c r="M371" s="889"/>
      <c r="N371" s="890" t="e">
        <f t="shared" si="55"/>
        <v>#DIV/0!</v>
      </c>
      <c r="O371" s="889"/>
      <c r="P371" s="889"/>
      <c r="Q371" s="889"/>
      <c r="R371" s="890"/>
      <c r="S371" s="918">
        <f t="shared" si="56"/>
        <v>0</v>
      </c>
      <c r="T371" s="873"/>
      <c r="V371" s="892"/>
      <c r="W371" s="892"/>
      <c r="X371" s="833"/>
      <c r="Y371" s="834"/>
      <c r="Z371" s="830"/>
      <c r="AA371" s="831"/>
      <c r="AB371" s="204">
        <f t="shared" si="49"/>
        <v>0</v>
      </c>
    </row>
    <row r="372" spans="1:28" s="204" customFormat="1" ht="15.75" hidden="1" thickBot="1" x14ac:dyDescent="0.3">
      <c r="A372" s="884"/>
      <c r="B372" s="885"/>
      <c r="C372" s="907"/>
      <c r="D372" s="884"/>
      <c r="E372" s="885"/>
      <c r="F372" s="933" t="s">
        <v>262</v>
      </c>
      <c r="G372" s="917" t="s">
        <v>263</v>
      </c>
      <c r="H372" s="887"/>
      <c r="I372" s="887"/>
      <c r="J372" s="888"/>
      <c r="K372" s="887"/>
      <c r="L372" s="918"/>
      <c r="M372" s="918"/>
      <c r="N372" s="919" t="e">
        <f t="shared" si="55"/>
        <v>#DIV/0!</v>
      </c>
      <c r="O372" s="918"/>
      <c r="P372" s="918"/>
      <c r="Q372" s="918"/>
      <c r="R372" s="919"/>
      <c r="S372" s="918">
        <f t="shared" si="56"/>
        <v>0</v>
      </c>
      <c r="T372" s="873"/>
      <c r="V372" s="892"/>
      <c r="W372" s="892"/>
      <c r="X372" s="833"/>
      <c r="Y372" s="834"/>
      <c r="Z372" s="830"/>
      <c r="AA372" s="831"/>
      <c r="AB372" s="204">
        <f t="shared" si="49"/>
        <v>0</v>
      </c>
    </row>
    <row r="373" spans="1:28" s="204" customFormat="1" ht="15.75" thickBot="1" x14ac:dyDescent="0.3">
      <c r="A373" s="884"/>
      <c r="B373" s="885"/>
      <c r="C373" s="907"/>
      <c r="D373" s="884"/>
      <c r="E373" s="885"/>
      <c r="F373" s="884"/>
      <c r="G373" s="920" t="s">
        <v>4931</v>
      </c>
      <c r="H373" s="921">
        <f>SUM(H357)</f>
        <v>18230516</v>
      </c>
      <c r="I373" s="921">
        <f>SUM(I357)</f>
        <v>12038424.369999999</v>
      </c>
      <c r="J373" s="922"/>
      <c r="K373" s="921">
        <f>SUM(K357)</f>
        <v>6192091.6299999999</v>
      </c>
      <c r="L373" s="923">
        <f>SUM(L357:L369)</f>
        <v>0</v>
      </c>
      <c r="M373" s="923">
        <f>SUM(M369)</f>
        <v>1135477.71</v>
      </c>
      <c r="N373" s="924" t="e">
        <f>M373/L373</f>
        <v>#DIV/0!</v>
      </c>
      <c r="O373" s="923">
        <f>L373-M373</f>
        <v>-1135477.71</v>
      </c>
      <c r="P373" s="923">
        <f>L373+H373</f>
        <v>18230516</v>
      </c>
      <c r="Q373" s="923">
        <f>M373+I373</f>
        <v>13173902.079999998</v>
      </c>
      <c r="R373" s="924">
        <f>Q373/P373</f>
        <v>0.72262913896677405</v>
      </c>
      <c r="S373" s="923">
        <f>P373-Q373</f>
        <v>5056613.9200000018</v>
      </c>
      <c r="T373" s="873"/>
      <c r="V373" s="892"/>
      <c r="W373" s="892"/>
      <c r="X373" s="833"/>
      <c r="Y373" s="834"/>
      <c r="Z373" s="830"/>
      <c r="AA373" s="831"/>
      <c r="AB373" s="204">
        <f t="shared" si="49"/>
        <v>0</v>
      </c>
    </row>
    <row r="374" spans="1:28" s="204" customFormat="1" ht="28.5" collapsed="1" x14ac:dyDescent="0.25">
      <c r="A374" s="884"/>
      <c r="B374" s="885"/>
      <c r="C374" s="907"/>
      <c r="D374" s="884"/>
      <c r="E374" s="908"/>
      <c r="F374" s="909"/>
      <c r="G374" s="925" t="s">
        <v>4932</v>
      </c>
      <c r="H374" s="926"/>
      <c r="I374" s="927"/>
      <c r="J374" s="928"/>
      <c r="K374" s="927"/>
      <c r="L374" s="929"/>
      <c r="M374" s="930"/>
      <c r="N374" s="931"/>
      <c r="O374" s="930"/>
      <c r="P374" s="930"/>
      <c r="Q374" s="930"/>
      <c r="R374" s="931"/>
      <c r="S374" s="932"/>
      <c r="T374" s="873"/>
      <c r="V374" s="892"/>
      <c r="W374" s="892"/>
      <c r="X374" s="833"/>
      <c r="Y374" s="834"/>
      <c r="Z374" s="830"/>
      <c r="AA374" s="831"/>
      <c r="AB374" s="204">
        <f t="shared" si="49"/>
        <v>0</v>
      </c>
    </row>
    <row r="375" spans="1:28" s="204" customFormat="1" x14ac:dyDescent="0.25">
      <c r="A375" s="884"/>
      <c r="B375" s="885"/>
      <c r="C375" s="907"/>
      <c r="D375" s="884"/>
      <c r="E375" s="915"/>
      <c r="F375" s="916" t="s">
        <v>235</v>
      </c>
      <c r="G375" s="917" t="s">
        <v>236</v>
      </c>
      <c r="H375" s="887">
        <f t="shared" ref="H375:P375" si="57">SUM(H357)</f>
        <v>18230516</v>
      </c>
      <c r="I375" s="887">
        <f t="shared" si="57"/>
        <v>12038424.369999999</v>
      </c>
      <c r="J375" s="888">
        <f t="shared" si="57"/>
        <v>0.66034468634897658</v>
      </c>
      <c r="K375" s="887">
        <f t="shared" si="57"/>
        <v>6192091.6299999999</v>
      </c>
      <c r="L375" s="918">
        <f t="shared" si="57"/>
        <v>0</v>
      </c>
      <c r="M375" s="918">
        <f t="shared" si="57"/>
        <v>0</v>
      </c>
      <c r="N375" s="919">
        <f t="shared" si="57"/>
        <v>0</v>
      </c>
      <c r="O375" s="918">
        <f t="shared" si="57"/>
        <v>0</v>
      </c>
      <c r="P375" s="918">
        <f t="shared" si="57"/>
        <v>18230516</v>
      </c>
      <c r="Q375" s="918">
        <f>M375+I375</f>
        <v>12038424.369999999</v>
      </c>
      <c r="R375" s="919">
        <f>Q375/P375</f>
        <v>0.66034468634897658</v>
      </c>
      <c r="S375" s="918">
        <f>P375-Q375</f>
        <v>6192091.6300000008</v>
      </c>
      <c r="T375" s="873"/>
      <c r="V375" s="892"/>
      <c r="W375" s="892"/>
      <c r="X375" s="833"/>
      <c r="Y375" s="834"/>
      <c r="Z375" s="830"/>
      <c r="AA375" s="831"/>
      <c r="AB375" s="204">
        <f t="shared" si="49"/>
        <v>0</v>
      </c>
    </row>
    <row r="376" spans="1:28" s="204" customFormat="1" hidden="1" x14ac:dyDescent="0.25">
      <c r="A376" s="884"/>
      <c r="B376" s="885"/>
      <c r="C376" s="907"/>
      <c r="D376" s="884"/>
      <c r="E376" s="885"/>
      <c r="F376" s="933" t="s">
        <v>237</v>
      </c>
      <c r="G376" s="917" t="s">
        <v>238</v>
      </c>
      <c r="H376" s="934"/>
      <c r="I376" s="934"/>
      <c r="J376" s="935"/>
      <c r="K376" s="934"/>
      <c r="L376" s="889"/>
      <c r="M376" s="889"/>
      <c r="N376" s="890" t="e">
        <f t="shared" ref="N376:N390" si="58">M376/L376</f>
        <v>#DIV/0!</v>
      </c>
      <c r="O376" s="889"/>
      <c r="P376" s="889"/>
      <c r="Q376" s="889"/>
      <c r="R376" s="890"/>
      <c r="S376" s="918">
        <f t="shared" ref="S376:S390" si="59">SUM(H376:L376)</f>
        <v>0</v>
      </c>
      <c r="T376" s="873"/>
      <c r="V376" s="892"/>
      <c r="W376" s="892"/>
      <c r="X376" s="833"/>
      <c r="Y376" s="834"/>
      <c r="Z376" s="830"/>
      <c r="AA376" s="831"/>
      <c r="AB376" s="204">
        <f t="shared" si="49"/>
        <v>0</v>
      </c>
    </row>
    <row r="377" spans="1:28" s="204" customFormat="1" hidden="1" x14ac:dyDescent="0.25">
      <c r="A377" s="884"/>
      <c r="B377" s="885"/>
      <c r="C377" s="907"/>
      <c r="D377" s="884"/>
      <c r="E377" s="885"/>
      <c r="F377" s="933" t="s">
        <v>239</v>
      </c>
      <c r="G377" s="917" t="s">
        <v>240</v>
      </c>
      <c r="H377" s="934"/>
      <c r="I377" s="934"/>
      <c r="J377" s="935"/>
      <c r="K377" s="934"/>
      <c r="L377" s="889"/>
      <c r="M377" s="889"/>
      <c r="N377" s="890" t="e">
        <f t="shared" si="58"/>
        <v>#DIV/0!</v>
      </c>
      <c r="O377" s="889"/>
      <c r="P377" s="889"/>
      <c r="Q377" s="889"/>
      <c r="R377" s="890"/>
      <c r="S377" s="918">
        <f t="shared" si="59"/>
        <v>0</v>
      </c>
      <c r="T377" s="873"/>
      <c r="V377" s="892"/>
      <c r="W377" s="892"/>
      <c r="X377" s="833"/>
      <c r="Y377" s="834"/>
      <c r="Z377" s="830"/>
      <c r="AA377" s="831"/>
      <c r="AB377" s="204">
        <f t="shared" si="49"/>
        <v>0</v>
      </c>
    </row>
    <row r="378" spans="1:28" s="204" customFormat="1" hidden="1" x14ac:dyDescent="0.25">
      <c r="A378" s="884"/>
      <c r="B378" s="885"/>
      <c r="C378" s="907"/>
      <c r="D378" s="884"/>
      <c r="E378" s="885"/>
      <c r="F378" s="933" t="s">
        <v>241</v>
      </c>
      <c r="G378" s="917" t="s">
        <v>242</v>
      </c>
      <c r="H378" s="934"/>
      <c r="I378" s="934"/>
      <c r="J378" s="935"/>
      <c r="K378" s="934"/>
      <c r="L378" s="889"/>
      <c r="M378" s="889"/>
      <c r="N378" s="890" t="e">
        <f t="shared" si="58"/>
        <v>#DIV/0!</v>
      </c>
      <c r="O378" s="889"/>
      <c r="P378" s="889"/>
      <c r="Q378" s="889"/>
      <c r="R378" s="890"/>
      <c r="S378" s="918">
        <f t="shared" si="59"/>
        <v>0</v>
      </c>
      <c r="T378" s="873"/>
      <c r="V378" s="892"/>
      <c r="W378" s="892"/>
      <c r="X378" s="833"/>
      <c r="Y378" s="834"/>
      <c r="Z378" s="830"/>
      <c r="AA378" s="831"/>
      <c r="AB378" s="204">
        <f t="shared" si="49"/>
        <v>0</v>
      </c>
    </row>
    <row r="379" spans="1:28" s="204" customFormat="1" hidden="1" x14ac:dyDescent="0.25">
      <c r="A379" s="884"/>
      <c r="B379" s="885"/>
      <c r="C379" s="907"/>
      <c r="D379" s="884"/>
      <c r="E379" s="885"/>
      <c r="F379" s="933" t="s">
        <v>243</v>
      </c>
      <c r="G379" s="917" t="s">
        <v>244</v>
      </c>
      <c r="H379" s="934"/>
      <c r="I379" s="934"/>
      <c r="J379" s="935"/>
      <c r="K379" s="934"/>
      <c r="L379" s="889"/>
      <c r="M379" s="889"/>
      <c r="N379" s="890" t="e">
        <f t="shared" si="58"/>
        <v>#DIV/0!</v>
      </c>
      <c r="O379" s="889"/>
      <c r="P379" s="889"/>
      <c r="Q379" s="889"/>
      <c r="R379" s="890"/>
      <c r="S379" s="918">
        <f t="shared" si="59"/>
        <v>0</v>
      </c>
      <c r="T379" s="873"/>
      <c r="V379" s="892"/>
      <c r="W379" s="892"/>
      <c r="X379" s="833"/>
      <c r="Y379" s="834"/>
      <c r="Z379" s="830"/>
      <c r="AA379" s="831"/>
      <c r="AB379" s="204">
        <f t="shared" si="49"/>
        <v>0</v>
      </c>
    </row>
    <row r="380" spans="1:28" s="204" customFormat="1" hidden="1" x14ac:dyDescent="0.25">
      <c r="A380" s="884"/>
      <c r="B380" s="885"/>
      <c r="C380" s="907"/>
      <c r="D380" s="884"/>
      <c r="E380" s="885"/>
      <c r="F380" s="933" t="s">
        <v>245</v>
      </c>
      <c r="G380" s="917" t="s">
        <v>246</v>
      </c>
      <c r="H380" s="934"/>
      <c r="I380" s="934"/>
      <c r="J380" s="935"/>
      <c r="K380" s="934"/>
      <c r="L380" s="889"/>
      <c r="M380" s="889"/>
      <c r="N380" s="890" t="e">
        <f t="shared" si="58"/>
        <v>#DIV/0!</v>
      </c>
      <c r="O380" s="889"/>
      <c r="P380" s="889"/>
      <c r="Q380" s="889"/>
      <c r="R380" s="890"/>
      <c r="S380" s="918">
        <f t="shared" si="59"/>
        <v>0</v>
      </c>
      <c r="T380" s="873"/>
      <c r="V380" s="892"/>
      <c r="W380" s="892"/>
      <c r="X380" s="833"/>
      <c r="Y380" s="834"/>
      <c r="Z380" s="830"/>
      <c r="AA380" s="831"/>
      <c r="AB380" s="204">
        <f t="shared" si="49"/>
        <v>0</v>
      </c>
    </row>
    <row r="381" spans="1:28" s="204" customFormat="1" hidden="1" x14ac:dyDescent="0.25">
      <c r="A381" s="884"/>
      <c r="B381" s="885"/>
      <c r="C381" s="907"/>
      <c r="D381" s="884"/>
      <c r="E381" s="885"/>
      <c r="F381" s="933" t="s">
        <v>247</v>
      </c>
      <c r="G381" s="917" t="s">
        <v>4745</v>
      </c>
      <c r="H381" s="934"/>
      <c r="I381" s="934"/>
      <c r="J381" s="935"/>
      <c r="K381" s="934"/>
      <c r="L381" s="889"/>
      <c r="M381" s="889"/>
      <c r="N381" s="890" t="e">
        <f t="shared" si="58"/>
        <v>#DIV/0!</v>
      </c>
      <c r="O381" s="889"/>
      <c r="P381" s="889"/>
      <c r="Q381" s="889"/>
      <c r="R381" s="890"/>
      <c r="S381" s="918">
        <f t="shared" si="59"/>
        <v>0</v>
      </c>
      <c r="T381" s="873"/>
      <c r="V381" s="892"/>
      <c r="W381" s="892"/>
      <c r="X381" s="833"/>
      <c r="Y381" s="834"/>
      <c r="Z381" s="830"/>
      <c r="AA381" s="831"/>
      <c r="AB381" s="204">
        <f t="shared" si="49"/>
        <v>0</v>
      </c>
    </row>
    <row r="382" spans="1:28" s="204" customFormat="1" ht="30" hidden="1" x14ac:dyDescent="0.25">
      <c r="A382" s="884"/>
      <c r="B382" s="885"/>
      <c r="C382" s="907"/>
      <c r="D382" s="884"/>
      <c r="E382" s="885"/>
      <c r="F382" s="933" t="s">
        <v>248</v>
      </c>
      <c r="G382" s="917" t="s">
        <v>4744</v>
      </c>
      <c r="H382" s="934"/>
      <c r="I382" s="934"/>
      <c r="J382" s="935"/>
      <c r="K382" s="934"/>
      <c r="L382" s="889"/>
      <c r="M382" s="889"/>
      <c r="N382" s="890" t="e">
        <f t="shared" si="58"/>
        <v>#DIV/0!</v>
      </c>
      <c r="O382" s="889"/>
      <c r="P382" s="889"/>
      <c r="Q382" s="889"/>
      <c r="R382" s="890"/>
      <c r="S382" s="918">
        <f t="shared" si="59"/>
        <v>0</v>
      </c>
      <c r="T382" s="873"/>
      <c r="V382" s="892"/>
      <c r="W382" s="892"/>
      <c r="X382" s="833"/>
      <c r="Y382" s="834"/>
      <c r="Z382" s="830"/>
      <c r="AA382" s="831"/>
      <c r="AB382" s="204">
        <f t="shared" si="49"/>
        <v>0</v>
      </c>
    </row>
    <row r="383" spans="1:28" s="204" customFormat="1" hidden="1" x14ac:dyDescent="0.25">
      <c r="A383" s="884"/>
      <c r="B383" s="885"/>
      <c r="C383" s="907"/>
      <c r="D383" s="884"/>
      <c r="E383" s="885"/>
      <c r="F383" s="933" t="s">
        <v>249</v>
      </c>
      <c r="G383" s="917" t="s">
        <v>58</v>
      </c>
      <c r="H383" s="934"/>
      <c r="I383" s="934"/>
      <c r="J383" s="935"/>
      <c r="K383" s="934"/>
      <c r="L383" s="889"/>
      <c r="M383" s="889"/>
      <c r="N383" s="890" t="e">
        <f t="shared" si="58"/>
        <v>#DIV/0!</v>
      </c>
      <c r="O383" s="889"/>
      <c r="P383" s="889"/>
      <c r="Q383" s="889"/>
      <c r="R383" s="890"/>
      <c r="S383" s="918">
        <f t="shared" si="59"/>
        <v>0</v>
      </c>
      <c r="T383" s="873"/>
      <c r="V383" s="892"/>
      <c r="W383" s="892"/>
      <c r="X383" s="833"/>
      <c r="Y383" s="834"/>
      <c r="Z383" s="830"/>
      <c r="AA383" s="831"/>
      <c r="AB383" s="204">
        <f t="shared" si="49"/>
        <v>0</v>
      </c>
    </row>
    <row r="384" spans="1:28" s="204" customFormat="1" hidden="1" x14ac:dyDescent="0.25">
      <c r="A384" s="884"/>
      <c r="B384" s="885"/>
      <c r="C384" s="907"/>
      <c r="D384" s="884"/>
      <c r="E384" s="885"/>
      <c r="F384" s="916" t="s">
        <v>235</v>
      </c>
      <c r="G384" s="917" t="s">
        <v>236</v>
      </c>
      <c r="H384" s="934"/>
      <c r="I384" s="934"/>
      <c r="J384" s="935"/>
      <c r="K384" s="934"/>
      <c r="L384" s="889"/>
      <c r="M384" s="889"/>
      <c r="N384" s="890" t="e">
        <f t="shared" si="58"/>
        <v>#DIV/0!</v>
      </c>
      <c r="O384" s="889"/>
      <c r="P384" s="889"/>
      <c r="Q384" s="889"/>
      <c r="R384" s="890"/>
      <c r="S384" s="918">
        <f t="shared" si="59"/>
        <v>0</v>
      </c>
      <c r="T384" s="873"/>
      <c r="V384" s="892"/>
      <c r="W384" s="892"/>
      <c r="X384" s="833"/>
      <c r="Y384" s="834"/>
      <c r="Z384" s="830"/>
      <c r="AA384" s="831"/>
      <c r="AB384" s="204">
        <f t="shared" si="49"/>
        <v>0</v>
      </c>
    </row>
    <row r="385" spans="1:31" s="204" customFormat="1" hidden="1" x14ac:dyDescent="0.25">
      <c r="A385" s="884"/>
      <c r="B385" s="885"/>
      <c r="C385" s="907"/>
      <c r="D385" s="884"/>
      <c r="E385" s="885"/>
      <c r="F385" s="933" t="s">
        <v>252</v>
      </c>
      <c r="G385" s="917" t="s">
        <v>253</v>
      </c>
      <c r="H385" s="934"/>
      <c r="I385" s="934"/>
      <c r="J385" s="935"/>
      <c r="K385" s="934"/>
      <c r="L385" s="889"/>
      <c r="M385" s="889"/>
      <c r="N385" s="890" t="e">
        <f t="shared" si="58"/>
        <v>#DIV/0!</v>
      </c>
      <c r="O385" s="889"/>
      <c r="P385" s="889"/>
      <c r="Q385" s="889"/>
      <c r="R385" s="890"/>
      <c r="S385" s="918">
        <f t="shared" si="59"/>
        <v>0</v>
      </c>
      <c r="T385" s="873"/>
      <c r="V385" s="892"/>
      <c r="W385" s="892"/>
      <c r="X385" s="833"/>
      <c r="Y385" s="834"/>
      <c r="Z385" s="830"/>
      <c r="AA385" s="831"/>
      <c r="AB385" s="204">
        <f t="shared" si="49"/>
        <v>0</v>
      </c>
    </row>
    <row r="386" spans="1:31" s="204" customFormat="1" ht="30" hidden="1" x14ac:dyDescent="0.25">
      <c r="A386" s="884"/>
      <c r="B386" s="885"/>
      <c r="C386" s="907"/>
      <c r="D386" s="884"/>
      <c r="E386" s="885"/>
      <c r="F386" s="933" t="s">
        <v>254</v>
      </c>
      <c r="G386" s="917" t="s">
        <v>255</v>
      </c>
      <c r="H386" s="934"/>
      <c r="I386" s="934"/>
      <c r="J386" s="935"/>
      <c r="K386" s="934"/>
      <c r="L386" s="889"/>
      <c r="M386" s="889"/>
      <c r="N386" s="890" t="e">
        <f t="shared" si="58"/>
        <v>#DIV/0!</v>
      </c>
      <c r="O386" s="889"/>
      <c r="P386" s="889"/>
      <c r="Q386" s="889"/>
      <c r="R386" s="890"/>
      <c r="S386" s="918">
        <f t="shared" si="59"/>
        <v>0</v>
      </c>
      <c r="T386" s="873"/>
      <c r="V386" s="892"/>
      <c r="W386" s="892"/>
      <c r="X386" s="833"/>
      <c r="Y386" s="834"/>
      <c r="Z386" s="830"/>
      <c r="AA386" s="831"/>
      <c r="AB386" s="204">
        <f t="shared" si="49"/>
        <v>0</v>
      </c>
    </row>
    <row r="387" spans="1:31" s="204" customFormat="1" ht="15.75" thickBot="1" x14ac:dyDescent="0.3">
      <c r="A387" s="884"/>
      <c r="B387" s="885"/>
      <c r="C387" s="907"/>
      <c r="D387" s="884"/>
      <c r="E387" s="885"/>
      <c r="F387" s="933" t="s">
        <v>256</v>
      </c>
      <c r="G387" s="917" t="s">
        <v>257</v>
      </c>
      <c r="H387" s="934">
        <f>H369</f>
        <v>0</v>
      </c>
      <c r="I387" s="934">
        <v>0</v>
      </c>
      <c r="J387" s="935"/>
      <c r="K387" s="934"/>
      <c r="L387" s="889">
        <f>L369</f>
        <v>0</v>
      </c>
      <c r="M387" s="889">
        <f>M369</f>
        <v>1135477.71</v>
      </c>
      <c r="N387" s="890" t="e">
        <f>N369</f>
        <v>#DIV/0!</v>
      </c>
      <c r="O387" s="889">
        <f>O369</f>
        <v>-1135477.71</v>
      </c>
      <c r="P387" s="889">
        <f>P369</f>
        <v>0</v>
      </c>
      <c r="Q387" s="889">
        <f>M387+I387</f>
        <v>1135477.71</v>
      </c>
      <c r="R387" s="890" t="e">
        <f>Q387/P387</f>
        <v>#DIV/0!</v>
      </c>
      <c r="S387" s="918">
        <f>P387-Q387</f>
        <v>-1135477.71</v>
      </c>
      <c r="T387" s="873"/>
      <c r="V387" s="892"/>
      <c r="W387" s="892"/>
      <c r="X387" s="833"/>
      <c r="Y387" s="834"/>
      <c r="Z387" s="830"/>
      <c r="AA387" s="831"/>
      <c r="AB387" s="204">
        <f t="shared" si="49"/>
        <v>0</v>
      </c>
    </row>
    <row r="388" spans="1:31" s="204" customFormat="1" ht="30" hidden="1" customHeight="1" x14ac:dyDescent="0.25">
      <c r="A388" s="884"/>
      <c r="B388" s="885"/>
      <c r="C388" s="907"/>
      <c r="D388" s="884"/>
      <c r="E388" s="885"/>
      <c r="F388" s="933" t="s">
        <v>258</v>
      </c>
      <c r="G388" s="917" t="s">
        <v>259</v>
      </c>
      <c r="H388" s="934"/>
      <c r="I388" s="934"/>
      <c r="J388" s="935"/>
      <c r="K388" s="934"/>
      <c r="L388" s="889"/>
      <c r="M388" s="889"/>
      <c r="N388" s="890" t="e">
        <f t="shared" si="58"/>
        <v>#DIV/0!</v>
      </c>
      <c r="O388" s="889"/>
      <c r="P388" s="889"/>
      <c r="Q388" s="889"/>
      <c r="R388" s="890"/>
      <c r="S388" s="918">
        <f t="shared" si="59"/>
        <v>0</v>
      </c>
      <c r="T388" s="873"/>
      <c r="V388" s="892"/>
      <c r="W388" s="892"/>
      <c r="X388" s="833"/>
      <c r="Y388" s="834"/>
      <c r="Z388" s="830"/>
      <c r="AA388" s="831"/>
      <c r="AB388" s="204">
        <f t="shared" si="49"/>
        <v>0</v>
      </c>
    </row>
    <row r="389" spans="1:31" s="204" customFormat="1" ht="30" hidden="1" customHeight="1" x14ac:dyDescent="0.25">
      <c r="A389" s="884"/>
      <c r="B389" s="885"/>
      <c r="C389" s="907"/>
      <c r="D389" s="884"/>
      <c r="E389" s="885"/>
      <c r="F389" s="933" t="s">
        <v>260</v>
      </c>
      <c r="G389" s="917" t="s">
        <v>261</v>
      </c>
      <c r="H389" s="934"/>
      <c r="I389" s="934"/>
      <c r="J389" s="935"/>
      <c r="K389" s="934"/>
      <c r="L389" s="889"/>
      <c r="M389" s="889"/>
      <c r="N389" s="890" t="e">
        <f t="shared" si="58"/>
        <v>#DIV/0!</v>
      </c>
      <c r="O389" s="889"/>
      <c r="P389" s="889"/>
      <c r="Q389" s="889"/>
      <c r="R389" s="890"/>
      <c r="S389" s="918">
        <f t="shared" si="59"/>
        <v>0</v>
      </c>
      <c r="T389" s="873"/>
      <c r="V389" s="892"/>
      <c r="W389" s="892"/>
      <c r="X389" s="833"/>
      <c r="Y389" s="834"/>
      <c r="Z389" s="830"/>
      <c r="AA389" s="831"/>
      <c r="AB389" s="204">
        <f t="shared" ref="AB389:AB453" si="60">Z389-AA389</f>
        <v>0</v>
      </c>
    </row>
    <row r="390" spans="1:31" s="204" customFormat="1" ht="15.75" hidden="1" customHeight="1" thickBot="1" x14ac:dyDescent="0.3">
      <c r="A390" s="884"/>
      <c r="B390" s="885"/>
      <c r="C390" s="907"/>
      <c r="D390" s="884"/>
      <c r="E390" s="885"/>
      <c r="F390" s="933" t="s">
        <v>262</v>
      </c>
      <c r="G390" s="917" t="s">
        <v>263</v>
      </c>
      <c r="H390" s="887"/>
      <c r="I390" s="887"/>
      <c r="J390" s="888"/>
      <c r="K390" s="887"/>
      <c r="L390" s="918"/>
      <c r="M390" s="918"/>
      <c r="N390" s="919" t="e">
        <f t="shared" si="58"/>
        <v>#DIV/0!</v>
      </c>
      <c r="O390" s="918"/>
      <c r="P390" s="918"/>
      <c r="Q390" s="918"/>
      <c r="R390" s="919"/>
      <c r="S390" s="918">
        <f t="shared" si="59"/>
        <v>0</v>
      </c>
      <c r="T390" s="873"/>
      <c r="V390" s="892"/>
      <c r="W390" s="892"/>
      <c r="X390" s="833"/>
      <c r="Y390" s="834"/>
      <c r="Z390" s="830"/>
      <c r="AA390" s="831"/>
      <c r="AB390" s="204">
        <f t="shared" si="60"/>
        <v>0</v>
      </c>
    </row>
    <row r="391" spans="1:31" s="204" customFormat="1" ht="15.75" collapsed="1" thickBot="1" x14ac:dyDescent="0.3">
      <c r="A391" s="884"/>
      <c r="B391" s="885"/>
      <c r="C391" s="907"/>
      <c r="D391" s="884"/>
      <c r="E391" s="885"/>
      <c r="F391" s="884"/>
      <c r="G391" s="920" t="s">
        <v>4933</v>
      </c>
      <c r="H391" s="921">
        <f>SUM(H375:H387)</f>
        <v>18230516</v>
      </c>
      <c r="I391" s="921">
        <f>SUM(I375:I387)</f>
        <v>12038424.369999999</v>
      </c>
      <c r="J391" s="922">
        <f>I391/H391</f>
        <v>0.66034468634897658</v>
      </c>
      <c r="K391" s="921">
        <f>SUM(K375:K390)</f>
        <v>6192091.6299999999</v>
      </c>
      <c r="L391" s="923">
        <f>SUM(L375:L387)</f>
        <v>0</v>
      </c>
      <c r="M391" s="923">
        <f>SUM(M387)</f>
        <v>1135477.71</v>
      </c>
      <c r="N391" s="924" t="e">
        <f>M391/L391</f>
        <v>#DIV/0!</v>
      </c>
      <c r="O391" s="923">
        <f>L391-M391</f>
        <v>-1135477.71</v>
      </c>
      <c r="P391" s="923">
        <f>SUM(P375:P387)</f>
        <v>18230516</v>
      </c>
      <c r="Q391" s="923">
        <f>M391+I391</f>
        <v>13173902.079999998</v>
      </c>
      <c r="R391" s="924">
        <f>Q391/P391</f>
        <v>0.72262913896677405</v>
      </c>
      <c r="S391" s="923">
        <f>P391-Q391</f>
        <v>5056613.9200000018</v>
      </c>
      <c r="T391" s="873"/>
      <c r="V391" s="892"/>
      <c r="W391" s="892"/>
      <c r="X391" s="833"/>
      <c r="Y391" s="834"/>
      <c r="Z391" s="830"/>
      <c r="AA391" s="831"/>
      <c r="AB391" s="204">
        <f t="shared" si="60"/>
        <v>0</v>
      </c>
    </row>
    <row r="392" spans="1:31" x14ac:dyDescent="0.25">
      <c r="G392" s="811"/>
      <c r="H392" s="812"/>
      <c r="I392" s="812"/>
      <c r="J392" s="813"/>
      <c r="K392" s="812"/>
      <c r="L392" s="814"/>
      <c r="M392" s="814"/>
      <c r="N392" s="815"/>
      <c r="O392" s="814"/>
      <c r="P392" s="814"/>
      <c r="Q392" s="814"/>
      <c r="R392" s="815"/>
      <c r="S392" s="814"/>
      <c r="AB392" s="84">
        <f t="shared" si="60"/>
        <v>0</v>
      </c>
    </row>
    <row r="393" spans="1:31" s="204" customFormat="1" x14ac:dyDescent="0.25">
      <c r="A393" s="881"/>
      <c r="B393" s="882"/>
      <c r="C393" s="893" t="s">
        <v>4934</v>
      </c>
      <c r="D393" s="894"/>
      <c r="E393" s="895"/>
      <c r="F393" s="896"/>
      <c r="G393" s="897" t="s">
        <v>4918</v>
      </c>
      <c r="H393" s="887"/>
      <c r="I393" s="887"/>
      <c r="J393" s="888"/>
      <c r="K393" s="887"/>
      <c r="L393" s="889"/>
      <c r="M393" s="889"/>
      <c r="N393" s="890"/>
      <c r="O393" s="889"/>
      <c r="P393" s="889"/>
      <c r="Q393" s="889"/>
      <c r="R393" s="890"/>
      <c r="S393" s="891"/>
      <c r="T393" s="873"/>
      <c r="V393" s="892"/>
      <c r="W393" s="892"/>
      <c r="X393" s="833"/>
      <c r="Y393" s="834"/>
      <c r="Z393" s="830"/>
      <c r="AA393" s="831"/>
      <c r="AB393" s="204">
        <f t="shared" si="60"/>
        <v>0</v>
      </c>
    </row>
    <row r="394" spans="1:31" s="204" customFormat="1" ht="30" x14ac:dyDescent="0.25">
      <c r="A394" s="881"/>
      <c r="B394" s="882"/>
      <c r="C394" s="883"/>
      <c r="D394" s="898">
        <v>540</v>
      </c>
      <c r="E394" s="899"/>
      <c r="F394" s="898"/>
      <c r="G394" s="900" t="s">
        <v>3961</v>
      </c>
      <c r="H394" s="887"/>
      <c r="I394" s="887"/>
      <c r="J394" s="888"/>
      <c r="K394" s="887"/>
      <c r="L394" s="889"/>
      <c r="M394" s="889"/>
      <c r="N394" s="890"/>
      <c r="O394" s="889"/>
      <c r="P394" s="889"/>
      <c r="Q394" s="889"/>
      <c r="R394" s="890"/>
      <c r="S394" s="891"/>
      <c r="T394" s="873"/>
      <c r="V394" s="892"/>
      <c r="W394" s="892"/>
      <c r="X394" s="833"/>
      <c r="Y394" s="834"/>
      <c r="Z394" s="830"/>
      <c r="AA394" s="831"/>
      <c r="AB394" s="204">
        <f t="shared" si="60"/>
        <v>0</v>
      </c>
    </row>
    <row r="395" spans="1:31" s="204" customFormat="1" ht="15.75" thickBot="1" x14ac:dyDescent="0.3">
      <c r="A395" s="881"/>
      <c r="B395" s="882"/>
      <c r="C395" s="901"/>
      <c r="D395" s="881"/>
      <c r="E395" s="902" t="s">
        <v>5453</v>
      </c>
      <c r="F395" s="903">
        <v>424</v>
      </c>
      <c r="G395" s="906" t="s">
        <v>3785</v>
      </c>
      <c r="H395" s="887">
        <v>808197</v>
      </c>
      <c r="I395" s="887">
        <v>555634.86</v>
      </c>
      <c r="J395" s="888">
        <f>I395/H395</f>
        <v>0.68749928544649386</v>
      </c>
      <c r="K395" s="887">
        <f>H395-I395</f>
        <v>252562.14</v>
      </c>
      <c r="L395" s="889">
        <v>0</v>
      </c>
      <c r="M395" s="889">
        <v>0</v>
      </c>
      <c r="N395" s="890"/>
      <c r="O395" s="889">
        <f>L395-M395</f>
        <v>0</v>
      </c>
      <c r="P395" s="889">
        <f>L395+H395</f>
        <v>808197</v>
      </c>
      <c r="Q395" s="889">
        <f>M395+I395</f>
        <v>555634.86</v>
      </c>
      <c r="R395" s="890">
        <f>Q395/P395</f>
        <v>0.68749928544649386</v>
      </c>
      <c r="S395" s="891">
        <f>P395-Q395</f>
        <v>252562.14</v>
      </c>
      <c r="T395" s="905" t="s">
        <v>4935</v>
      </c>
      <c r="V395" s="892"/>
      <c r="W395" s="892"/>
      <c r="X395" s="833"/>
      <c r="Y395" s="834">
        <v>60000</v>
      </c>
      <c r="Z395" s="830">
        <f>H395-X395+Y395</f>
        <v>868197</v>
      </c>
      <c r="AA395" s="831">
        <v>600000</v>
      </c>
      <c r="AB395" s="204">
        <f t="shared" si="60"/>
        <v>268197</v>
      </c>
      <c r="AE395" s="204">
        <f>H395-AA395</f>
        <v>208197</v>
      </c>
    </row>
    <row r="396" spans="1:31" s="204" customFormat="1" ht="15.75" hidden="1" thickBot="1" x14ac:dyDescent="0.3">
      <c r="A396" s="881"/>
      <c r="B396" s="882"/>
      <c r="C396" s="901"/>
      <c r="D396" s="881"/>
      <c r="E396" s="902"/>
      <c r="F396" s="903">
        <v>426</v>
      </c>
      <c r="G396" s="906" t="s">
        <v>3789</v>
      </c>
      <c r="H396" s="887">
        <v>0</v>
      </c>
      <c r="I396" s="887">
        <v>0</v>
      </c>
      <c r="J396" s="888"/>
      <c r="K396" s="887">
        <f>H396-I396</f>
        <v>0</v>
      </c>
      <c r="L396" s="889">
        <v>0</v>
      </c>
      <c r="M396" s="889">
        <v>0</v>
      </c>
      <c r="N396" s="890"/>
      <c r="O396" s="889">
        <f>L396-M396</f>
        <v>0</v>
      </c>
      <c r="P396" s="889">
        <f>L396+H396</f>
        <v>0</v>
      </c>
      <c r="Q396" s="889">
        <f>M396+I396</f>
        <v>0</v>
      </c>
      <c r="R396" s="890" t="e">
        <f>Q396/P396</f>
        <v>#DIV/0!</v>
      </c>
      <c r="S396" s="891">
        <f>P396-Q396</f>
        <v>0</v>
      </c>
      <c r="T396" s="905"/>
      <c r="V396" s="892"/>
      <c r="W396" s="892"/>
      <c r="X396" s="833"/>
      <c r="Y396" s="834"/>
      <c r="Z396" s="830">
        <f>H396-X396+Y396</f>
        <v>0</v>
      </c>
      <c r="AA396" s="831">
        <v>0</v>
      </c>
      <c r="AB396" s="204">
        <f t="shared" si="60"/>
        <v>0</v>
      </c>
      <c r="AE396" s="204">
        <f>H396-AA396</f>
        <v>0</v>
      </c>
    </row>
    <row r="397" spans="1:31" s="204" customFormat="1" x14ac:dyDescent="0.25">
      <c r="A397" s="884"/>
      <c r="B397" s="885"/>
      <c r="C397" s="907"/>
      <c r="D397" s="884"/>
      <c r="E397" s="908"/>
      <c r="F397" s="909"/>
      <c r="G397" s="910" t="s">
        <v>5102</v>
      </c>
      <c r="H397" s="911"/>
      <c r="I397" s="911"/>
      <c r="J397" s="912"/>
      <c r="K397" s="911"/>
      <c r="L397" s="913"/>
      <c r="M397" s="913"/>
      <c r="N397" s="914"/>
      <c r="O397" s="913"/>
      <c r="P397" s="913"/>
      <c r="Q397" s="913"/>
      <c r="R397" s="914"/>
      <c r="S397" s="911"/>
      <c r="T397" s="873"/>
      <c r="V397" s="892"/>
      <c r="W397" s="892"/>
      <c r="X397" s="833"/>
      <c r="Y397" s="834"/>
      <c r="Z397" s="830"/>
      <c r="AA397" s="831"/>
      <c r="AB397" s="204">
        <f t="shared" si="60"/>
        <v>0</v>
      </c>
    </row>
    <row r="398" spans="1:31" s="204" customFormat="1" ht="15.75" thickBot="1" x14ac:dyDescent="0.3">
      <c r="A398" s="884"/>
      <c r="B398" s="885"/>
      <c r="C398" s="907"/>
      <c r="D398" s="884"/>
      <c r="E398" s="915"/>
      <c r="F398" s="916" t="s">
        <v>235</v>
      </c>
      <c r="G398" s="917" t="s">
        <v>236</v>
      </c>
      <c r="H398" s="887">
        <f>SUM(H395:H396)</f>
        <v>808197</v>
      </c>
      <c r="I398" s="887">
        <f>SUM(I395:I396)</f>
        <v>555634.86</v>
      </c>
      <c r="J398" s="888">
        <f>I398/H398</f>
        <v>0.68749928544649386</v>
      </c>
      <c r="K398" s="887">
        <f>SUM(K395:K395)</f>
        <v>252562.14</v>
      </c>
      <c r="L398" s="918">
        <f>SUM(L395)</f>
        <v>0</v>
      </c>
      <c r="M398" s="918">
        <f>SUM(M395)</f>
        <v>0</v>
      </c>
      <c r="N398" s="919"/>
      <c r="O398" s="918">
        <f>L398-M398</f>
        <v>0</v>
      </c>
      <c r="P398" s="918">
        <f>L398+H398</f>
        <v>808197</v>
      </c>
      <c r="Q398" s="918">
        <f>M398+I398</f>
        <v>555634.86</v>
      </c>
      <c r="R398" s="919">
        <f>Q398/P398</f>
        <v>0.68749928544649386</v>
      </c>
      <c r="S398" s="918">
        <f>P398-Q398</f>
        <v>252562.14</v>
      </c>
      <c r="T398" s="873"/>
      <c r="V398" s="892"/>
      <c r="W398" s="892"/>
      <c r="X398" s="833"/>
      <c r="Y398" s="834"/>
      <c r="Z398" s="830"/>
      <c r="AA398" s="831"/>
      <c r="AB398" s="204">
        <f t="shared" si="60"/>
        <v>0</v>
      </c>
    </row>
    <row r="399" spans="1:31" s="204" customFormat="1" ht="15.75" thickBot="1" x14ac:dyDescent="0.3">
      <c r="A399" s="884"/>
      <c r="B399" s="885"/>
      <c r="C399" s="907"/>
      <c r="D399" s="884"/>
      <c r="E399" s="885"/>
      <c r="F399" s="884"/>
      <c r="G399" s="920" t="s">
        <v>5103</v>
      </c>
      <c r="H399" s="921">
        <f>SUM(H398)</f>
        <v>808197</v>
      </c>
      <c r="I399" s="921">
        <f>SUM(I398)</f>
        <v>555634.86</v>
      </c>
      <c r="J399" s="922">
        <f>I399/H399</f>
        <v>0.68749928544649386</v>
      </c>
      <c r="K399" s="921">
        <f>SUM(K398)</f>
        <v>252562.14</v>
      </c>
      <c r="L399" s="923">
        <f>SUM(L398)</f>
        <v>0</v>
      </c>
      <c r="M399" s="923">
        <f>SUM(M398)</f>
        <v>0</v>
      </c>
      <c r="N399" s="924"/>
      <c r="O399" s="923">
        <f>L399-M399</f>
        <v>0</v>
      </c>
      <c r="P399" s="923">
        <f>SUM(P398)</f>
        <v>808197</v>
      </c>
      <c r="Q399" s="923">
        <f>M399+I399</f>
        <v>555634.86</v>
      </c>
      <c r="R399" s="924">
        <f>Q399/P399</f>
        <v>0.68749928544649386</v>
      </c>
      <c r="S399" s="923">
        <f>P399-Q399</f>
        <v>252562.14</v>
      </c>
      <c r="T399" s="873"/>
      <c r="V399" s="892"/>
      <c r="W399" s="892"/>
      <c r="X399" s="833"/>
      <c r="Y399" s="834"/>
      <c r="Z399" s="830"/>
      <c r="AA399" s="831"/>
      <c r="AB399" s="204">
        <f t="shared" si="60"/>
        <v>0</v>
      </c>
    </row>
    <row r="400" spans="1:31" s="204" customFormat="1" ht="28.5" collapsed="1" x14ac:dyDescent="0.25">
      <c r="A400" s="884"/>
      <c r="B400" s="885"/>
      <c r="C400" s="907"/>
      <c r="D400" s="884"/>
      <c r="E400" s="908"/>
      <c r="F400" s="909"/>
      <c r="G400" s="925" t="s">
        <v>4937</v>
      </c>
      <c r="H400" s="926"/>
      <c r="I400" s="927"/>
      <c r="J400" s="928"/>
      <c r="K400" s="927"/>
      <c r="L400" s="929"/>
      <c r="M400" s="930"/>
      <c r="N400" s="931"/>
      <c r="O400" s="930"/>
      <c r="P400" s="930"/>
      <c r="Q400" s="930"/>
      <c r="R400" s="931"/>
      <c r="S400" s="932"/>
      <c r="T400" s="873"/>
      <c r="V400" s="892"/>
      <c r="W400" s="892"/>
      <c r="X400" s="833"/>
      <c r="Y400" s="834"/>
      <c r="Z400" s="830"/>
      <c r="AA400" s="831"/>
      <c r="AB400" s="204">
        <f t="shared" si="60"/>
        <v>0</v>
      </c>
    </row>
    <row r="401" spans="1:31" s="204" customFormat="1" ht="15.75" thickBot="1" x14ac:dyDescent="0.3">
      <c r="A401" s="884"/>
      <c r="B401" s="885"/>
      <c r="C401" s="907"/>
      <c r="D401" s="884"/>
      <c r="E401" s="915"/>
      <c r="F401" s="916" t="s">
        <v>235</v>
      </c>
      <c r="G401" s="917" t="s">
        <v>236</v>
      </c>
      <c r="H401" s="887">
        <f>SUM(H399)</f>
        <v>808197</v>
      </c>
      <c r="I401" s="887">
        <f t="shared" ref="I401:S401" si="61">SUM(I399)</f>
        <v>555634.86</v>
      </c>
      <c r="J401" s="888">
        <f t="shared" si="61"/>
        <v>0.68749928544649386</v>
      </c>
      <c r="K401" s="887">
        <f t="shared" si="61"/>
        <v>252562.14</v>
      </c>
      <c r="L401" s="918">
        <f t="shared" si="61"/>
        <v>0</v>
      </c>
      <c r="M401" s="918">
        <f t="shared" si="61"/>
        <v>0</v>
      </c>
      <c r="N401" s="919"/>
      <c r="O401" s="918">
        <f t="shared" si="61"/>
        <v>0</v>
      </c>
      <c r="P401" s="918">
        <f t="shared" si="61"/>
        <v>808197</v>
      </c>
      <c r="Q401" s="918">
        <f t="shared" si="61"/>
        <v>555634.86</v>
      </c>
      <c r="R401" s="919">
        <f t="shared" si="61"/>
        <v>0.68749928544649386</v>
      </c>
      <c r="S401" s="918">
        <f t="shared" si="61"/>
        <v>252562.14</v>
      </c>
      <c r="T401" s="873"/>
      <c r="V401" s="892"/>
      <c r="W401" s="892"/>
      <c r="X401" s="833"/>
      <c r="Y401" s="834"/>
      <c r="Z401" s="830"/>
      <c r="AA401" s="831"/>
      <c r="AB401" s="204">
        <f t="shared" si="60"/>
        <v>0</v>
      </c>
    </row>
    <row r="402" spans="1:31" s="204" customFormat="1" ht="15.75" collapsed="1" thickBot="1" x14ac:dyDescent="0.3">
      <c r="A402" s="884"/>
      <c r="B402" s="885"/>
      <c r="C402" s="907"/>
      <c r="D402" s="884"/>
      <c r="E402" s="885"/>
      <c r="F402" s="884"/>
      <c r="G402" s="920" t="s">
        <v>4938</v>
      </c>
      <c r="H402" s="921">
        <f>SUM(H401)</f>
        <v>808197</v>
      </c>
      <c r="I402" s="921">
        <f>SUM(I401)</f>
        <v>555634.86</v>
      </c>
      <c r="J402" s="922">
        <f>I402/H402</f>
        <v>0.68749928544649386</v>
      </c>
      <c r="K402" s="921">
        <f>SUM(K401)</f>
        <v>252562.14</v>
      </c>
      <c r="L402" s="923">
        <f>SUM(L401)</f>
        <v>0</v>
      </c>
      <c r="M402" s="923">
        <f>SUM(M401)</f>
        <v>0</v>
      </c>
      <c r="N402" s="924"/>
      <c r="O402" s="923">
        <f>SUM(O401)</f>
        <v>0</v>
      </c>
      <c r="P402" s="923">
        <f>SUM(P401)</f>
        <v>808197</v>
      </c>
      <c r="Q402" s="923">
        <f>SUM(Q401)</f>
        <v>555634.86</v>
      </c>
      <c r="R402" s="924">
        <f>Q402/P402</f>
        <v>0.68749928544649386</v>
      </c>
      <c r="S402" s="923">
        <f>SUM(S401)</f>
        <v>252562.14</v>
      </c>
      <c r="T402" s="873"/>
      <c r="V402" s="892"/>
      <c r="W402" s="892"/>
      <c r="X402" s="833"/>
      <c r="Y402" s="834"/>
      <c r="Z402" s="830"/>
      <c r="AA402" s="831"/>
      <c r="AB402" s="204">
        <f t="shared" si="60"/>
        <v>0</v>
      </c>
    </row>
    <row r="403" spans="1:31" x14ac:dyDescent="0.25">
      <c r="G403" s="811"/>
      <c r="H403" s="812"/>
      <c r="I403" s="812"/>
      <c r="J403" s="813"/>
      <c r="K403" s="812"/>
      <c r="L403" s="814"/>
      <c r="M403" s="814"/>
      <c r="N403" s="815"/>
      <c r="O403" s="814"/>
      <c r="P403" s="814"/>
      <c r="Q403" s="814"/>
      <c r="R403" s="815"/>
      <c r="S403" s="814"/>
      <c r="AB403" s="84">
        <f t="shared" si="60"/>
        <v>0</v>
      </c>
    </row>
    <row r="404" spans="1:31" ht="28.5" x14ac:dyDescent="0.25">
      <c r="A404" s="881"/>
      <c r="B404" s="882"/>
      <c r="C404" s="961" t="s">
        <v>4939</v>
      </c>
      <c r="D404" s="894"/>
      <c r="E404" s="895"/>
      <c r="F404" s="896"/>
      <c r="G404" s="897" t="s">
        <v>4940</v>
      </c>
      <c r="H404" s="887"/>
      <c r="I404" s="887"/>
      <c r="J404" s="888"/>
      <c r="K404" s="887"/>
      <c r="L404" s="889"/>
      <c r="M404" s="889"/>
      <c r="N404" s="890"/>
      <c r="O404" s="889"/>
      <c r="P404" s="889"/>
      <c r="Q404" s="889"/>
      <c r="R404" s="890"/>
      <c r="S404" s="891"/>
      <c r="AB404" s="84">
        <f t="shared" si="60"/>
        <v>0</v>
      </c>
    </row>
    <row r="405" spans="1:31" ht="30" x14ac:dyDescent="0.25">
      <c r="A405" s="881"/>
      <c r="B405" s="882"/>
      <c r="C405" s="883"/>
      <c r="D405" s="898">
        <v>620</v>
      </c>
      <c r="E405" s="899"/>
      <c r="F405" s="898"/>
      <c r="G405" s="900" t="s">
        <v>187</v>
      </c>
      <c r="H405" s="887"/>
      <c r="I405" s="887"/>
      <c r="J405" s="888"/>
      <c r="K405" s="887"/>
      <c r="L405" s="889"/>
      <c r="M405" s="889"/>
      <c r="N405" s="890"/>
      <c r="O405" s="889"/>
      <c r="P405" s="889"/>
      <c r="Q405" s="889"/>
      <c r="R405" s="890"/>
      <c r="S405" s="891"/>
      <c r="AB405" s="84">
        <f t="shared" si="60"/>
        <v>0</v>
      </c>
    </row>
    <row r="406" spans="1:31" ht="15.75" thickBot="1" x14ac:dyDescent="0.3">
      <c r="A406" s="881"/>
      <c r="B406" s="882"/>
      <c r="C406" s="901"/>
      <c r="D406" s="881"/>
      <c r="E406" s="902" t="s">
        <v>5454</v>
      </c>
      <c r="F406" s="903">
        <v>421</v>
      </c>
      <c r="G406" s="906" t="s">
        <v>3781</v>
      </c>
      <c r="H406" s="887">
        <v>250000</v>
      </c>
      <c r="I406" s="887">
        <v>0</v>
      </c>
      <c r="J406" s="888"/>
      <c r="K406" s="887">
        <f>H406-I406</f>
        <v>250000</v>
      </c>
      <c r="L406" s="889">
        <v>0</v>
      </c>
      <c r="M406" s="889">
        <v>0</v>
      </c>
      <c r="N406" s="890"/>
      <c r="O406" s="889">
        <f>L406-M406</f>
        <v>0</v>
      </c>
      <c r="P406" s="889">
        <f>L406+H406</f>
        <v>250000</v>
      </c>
      <c r="Q406" s="889">
        <f>M406+I406</f>
        <v>0</v>
      </c>
      <c r="R406" s="890">
        <f>Q406/P406</f>
        <v>0</v>
      </c>
      <c r="S406" s="891">
        <f>P406-Q406</f>
        <v>250000</v>
      </c>
      <c r="T406" s="905" t="s">
        <v>5009</v>
      </c>
      <c r="X406" s="833">
        <v>250000</v>
      </c>
      <c r="Z406" s="830">
        <f>H406-X406+Y406</f>
        <v>0</v>
      </c>
      <c r="AA406" s="831">
        <v>250000</v>
      </c>
      <c r="AB406" s="84">
        <f t="shared" si="60"/>
        <v>-250000</v>
      </c>
      <c r="AE406" s="84">
        <f>H406-AA406</f>
        <v>0</v>
      </c>
    </row>
    <row r="407" spans="1:31" x14ac:dyDescent="0.25">
      <c r="A407" s="884"/>
      <c r="B407" s="885"/>
      <c r="C407" s="907"/>
      <c r="D407" s="884"/>
      <c r="E407" s="908"/>
      <c r="F407" s="909"/>
      <c r="G407" s="910" t="s">
        <v>4188</v>
      </c>
      <c r="H407" s="911"/>
      <c r="I407" s="911"/>
      <c r="J407" s="912"/>
      <c r="K407" s="911"/>
      <c r="L407" s="913"/>
      <c r="M407" s="913"/>
      <c r="N407" s="914"/>
      <c r="O407" s="913"/>
      <c r="P407" s="913"/>
      <c r="Q407" s="913"/>
      <c r="R407" s="914"/>
      <c r="S407" s="911"/>
      <c r="AB407" s="84">
        <f t="shared" si="60"/>
        <v>0</v>
      </c>
    </row>
    <row r="408" spans="1:31" ht="15.75" thickBot="1" x14ac:dyDescent="0.3">
      <c r="A408" s="884"/>
      <c r="B408" s="885"/>
      <c r="C408" s="907"/>
      <c r="D408" s="884"/>
      <c r="E408" s="915"/>
      <c r="F408" s="916" t="s">
        <v>235</v>
      </c>
      <c r="G408" s="917" t="s">
        <v>236</v>
      </c>
      <c r="H408" s="887">
        <f>SUM(H406:H406)</f>
        <v>250000</v>
      </c>
      <c r="I408" s="887">
        <f>SUM(I406:I406)</f>
        <v>0</v>
      </c>
      <c r="J408" s="888"/>
      <c r="K408" s="887">
        <f>SUM(K406:K406)</f>
        <v>250000</v>
      </c>
      <c r="L408" s="918">
        <f>SUM(L406)</f>
        <v>0</v>
      </c>
      <c r="M408" s="918">
        <f>SUM(M406)</f>
        <v>0</v>
      </c>
      <c r="N408" s="919"/>
      <c r="O408" s="918">
        <f>L408-M408</f>
        <v>0</v>
      </c>
      <c r="P408" s="918">
        <f>L408+H408</f>
        <v>250000</v>
      </c>
      <c r="Q408" s="918">
        <f>M408+I408</f>
        <v>0</v>
      </c>
      <c r="R408" s="919">
        <f>Q408/P408</f>
        <v>0</v>
      </c>
      <c r="S408" s="918">
        <f>P408-Q408</f>
        <v>250000</v>
      </c>
      <c r="AB408" s="84">
        <f t="shared" si="60"/>
        <v>0</v>
      </c>
    </row>
    <row r="409" spans="1:31" ht="15.75" thickBot="1" x14ac:dyDescent="0.3">
      <c r="A409" s="884"/>
      <c r="B409" s="885"/>
      <c r="C409" s="907"/>
      <c r="D409" s="884"/>
      <c r="E409" s="885"/>
      <c r="F409" s="884"/>
      <c r="G409" s="920" t="s">
        <v>4189</v>
      </c>
      <c r="H409" s="921">
        <f>SUM(H408)</f>
        <v>250000</v>
      </c>
      <c r="I409" s="921">
        <f>SUM(I408)</f>
        <v>0</v>
      </c>
      <c r="J409" s="922"/>
      <c r="K409" s="921">
        <f>SUM(K408)</f>
        <v>250000</v>
      </c>
      <c r="L409" s="923">
        <f>SUM(L408)</f>
        <v>0</v>
      </c>
      <c r="M409" s="923">
        <f>SUM(M408)</f>
        <v>0</v>
      </c>
      <c r="N409" s="924"/>
      <c r="O409" s="923">
        <f>L409-M409</f>
        <v>0</v>
      </c>
      <c r="P409" s="923">
        <f>SUM(P408)</f>
        <v>250000</v>
      </c>
      <c r="Q409" s="923">
        <f>M409+I409</f>
        <v>0</v>
      </c>
      <c r="R409" s="924">
        <f>Q409/P409</f>
        <v>0</v>
      </c>
      <c r="S409" s="923">
        <f>P409-Q409</f>
        <v>250000</v>
      </c>
      <c r="AB409" s="84">
        <f t="shared" si="60"/>
        <v>0</v>
      </c>
    </row>
    <row r="410" spans="1:31" ht="28.5" x14ac:dyDescent="0.25">
      <c r="A410" s="884"/>
      <c r="B410" s="885"/>
      <c r="C410" s="907"/>
      <c r="D410" s="884"/>
      <c r="E410" s="908"/>
      <c r="F410" s="909"/>
      <c r="G410" s="925" t="s">
        <v>4941</v>
      </c>
      <c r="H410" s="926"/>
      <c r="I410" s="927"/>
      <c r="J410" s="928"/>
      <c r="K410" s="927"/>
      <c r="L410" s="929"/>
      <c r="M410" s="930"/>
      <c r="N410" s="931"/>
      <c r="O410" s="930"/>
      <c r="P410" s="930"/>
      <c r="Q410" s="930"/>
      <c r="R410" s="931"/>
      <c r="S410" s="932"/>
      <c r="AB410" s="84">
        <f t="shared" si="60"/>
        <v>0</v>
      </c>
    </row>
    <row r="411" spans="1:31" ht="15.75" thickBot="1" x14ac:dyDescent="0.3">
      <c r="A411" s="884"/>
      <c r="B411" s="885"/>
      <c r="C411" s="907"/>
      <c r="D411" s="884"/>
      <c r="E411" s="915"/>
      <c r="F411" s="916" t="s">
        <v>235</v>
      </c>
      <c r="G411" s="917" t="s">
        <v>236</v>
      </c>
      <c r="H411" s="887">
        <f>SUM(H409)</f>
        <v>250000</v>
      </c>
      <c r="I411" s="887">
        <f t="shared" ref="I411:S411" si="62">SUM(I409)</f>
        <v>0</v>
      </c>
      <c r="J411" s="888"/>
      <c r="K411" s="887">
        <f t="shared" si="62"/>
        <v>250000</v>
      </c>
      <c r="L411" s="918">
        <f t="shared" si="62"/>
        <v>0</v>
      </c>
      <c r="M411" s="918">
        <f t="shared" si="62"/>
        <v>0</v>
      </c>
      <c r="N411" s="919"/>
      <c r="O411" s="918">
        <f t="shared" si="62"/>
        <v>0</v>
      </c>
      <c r="P411" s="918">
        <f t="shared" si="62"/>
        <v>250000</v>
      </c>
      <c r="Q411" s="918">
        <f t="shared" si="62"/>
        <v>0</v>
      </c>
      <c r="R411" s="919">
        <f t="shared" si="62"/>
        <v>0</v>
      </c>
      <c r="S411" s="918">
        <f t="shared" si="62"/>
        <v>250000</v>
      </c>
      <c r="AB411" s="84">
        <f t="shared" si="60"/>
        <v>0</v>
      </c>
    </row>
    <row r="412" spans="1:31" ht="15.75" thickBot="1" x14ac:dyDescent="0.3">
      <c r="A412" s="884"/>
      <c r="B412" s="885"/>
      <c r="C412" s="907"/>
      <c r="D412" s="884"/>
      <c r="E412" s="885"/>
      <c r="F412" s="884"/>
      <c r="G412" s="920" t="s">
        <v>4942</v>
      </c>
      <c r="H412" s="921">
        <f>SUM(H411)</f>
        <v>250000</v>
      </c>
      <c r="I412" s="921">
        <f>SUM(I411)</f>
        <v>0</v>
      </c>
      <c r="J412" s="922"/>
      <c r="K412" s="921">
        <f>SUM(K411)</f>
        <v>250000</v>
      </c>
      <c r="L412" s="923">
        <f>SUM(L411)</f>
        <v>0</v>
      </c>
      <c r="M412" s="923">
        <f>SUM(M411)</f>
        <v>0</v>
      </c>
      <c r="N412" s="924"/>
      <c r="O412" s="923">
        <f>SUM(O411)</f>
        <v>0</v>
      </c>
      <c r="P412" s="923">
        <f>SUM(P411)</f>
        <v>250000</v>
      </c>
      <c r="Q412" s="923">
        <f>SUM(Q411)</f>
        <v>0</v>
      </c>
      <c r="R412" s="924">
        <f>Q412/P412</f>
        <v>0</v>
      </c>
      <c r="S412" s="923">
        <f>SUM(S411)</f>
        <v>250000</v>
      </c>
      <c r="AB412" s="84">
        <f t="shared" si="60"/>
        <v>0</v>
      </c>
    </row>
    <row r="413" spans="1:31" x14ac:dyDescent="0.25">
      <c r="C413" s="907"/>
      <c r="D413" s="884"/>
      <c r="E413" s="885"/>
      <c r="F413" s="884"/>
      <c r="G413" s="962"/>
      <c r="H413" s="812"/>
      <c r="I413" s="812"/>
      <c r="J413" s="813"/>
      <c r="K413" s="812"/>
      <c r="L413" s="814"/>
      <c r="M413" s="814"/>
      <c r="N413" s="815"/>
      <c r="O413" s="814"/>
      <c r="P413" s="814"/>
      <c r="Q413" s="814"/>
      <c r="R413" s="815"/>
      <c r="S413" s="814"/>
      <c r="AB413" s="84">
        <f t="shared" si="60"/>
        <v>0</v>
      </c>
    </row>
    <row r="414" spans="1:31" x14ac:dyDescent="0.25">
      <c r="A414" s="881"/>
      <c r="B414" s="882"/>
      <c r="C414" s="893" t="s">
        <v>4943</v>
      </c>
      <c r="D414" s="894"/>
      <c r="E414" s="895"/>
      <c r="F414" s="896"/>
      <c r="G414" s="897" t="s">
        <v>4922</v>
      </c>
      <c r="H414" s="887"/>
      <c r="I414" s="887"/>
      <c r="J414" s="888"/>
      <c r="K414" s="887"/>
      <c r="L414" s="889"/>
      <c r="M414" s="889"/>
      <c r="N414" s="890"/>
      <c r="O414" s="889"/>
      <c r="P414" s="889"/>
      <c r="Q414" s="889"/>
      <c r="R414" s="890"/>
      <c r="S414" s="891"/>
      <c r="AB414" s="84">
        <f t="shared" si="60"/>
        <v>0</v>
      </c>
    </row>
    <row r="415" spans="1:31" ht="30" x14ac:dyDescent="0.25">
      <c r="A415" s="881"/>
      <c r="B415" s="882"/>
      <c r="C415" s="883"/>
      <c r="D415" s="898">
        <v>660</v>
      </c>
      <c r="E415" s="899"/>
      <c r="F415" s="898"/>
      <c r="G415" s="900" t="s">
        <v>187</v>
      </c>
      <c r="H415" s="887"/>
      <c r="I415" s="887"/>
      <c r="J415" s="888"/>
      <c r="K415" s="887"/>
      <c r="L415" s="889"/>
      <c r="M415" s="889"/>
      <c r="N415" s="890"/>
      <c r="O415" s="889"/>
      <c r="P415" s="889"/>
      <c r="Q415" s="889"/>
      <c r="R415" s="890"/>
      <c r="S415" s="891"/>
      <c r="AB415" s="84">
        <f t="shared" si="60"/>
        <v>0</v>
      </c>
    </row>
    <row r="416" spans="1:31" x14ac:dyDescent="0.25">
      <c r="A416" s="881"/>
      <c r="B416" s="882"/>
      <c r="C416" s="901"/>
      <c r="D416" s="881"/>
      <c r="E416" s="902" t="s">
        <v>5455</v>
      </c>
      <c r="F416" s="903">
        <v>424</v>
      </c>
      <c r="G416" s="906" t="s">
        <v>3785</v>
      </c>
      <c r="H416" s="887">
        <v>0</v>
      </c>
      <c r="I416" s="887">
        <v>383160</v>
      </c>
      <c r="J416" s="888" t="e">
        <f>I416/H416</f>
        <v>#DIV/0!</v>
      </c>
      <c r="K416" s="887">
        <f>H416-I416</f>
        <v>-383160</v>
      </c>
      <c r="L416" s="889">
        <v>0</v>
      </c>
      <c r="M416" s="889">
        <v>0</v>
      </c>
      <c r="N416" s="890"/>
      <c r="O416" s="889">
        <f>L416-M416</f>
        <v>0</v>
      </c>
      <c r="P416" s="889">
        <f>L416+H416</f>
        <v>0</v>
      </c>
      <c r="Q416" s="889">
        <f>M416+I416</f>
        <v>383160</v>
      </c>
      <c r="R416" s="890" t="e">
        <f>Q416/P416</f>
        <v>#DIV/0!</v>
      </c>
      <c r="S416" s="891">
        <f>P416-Q416</f>
        <v>-383160</v>
      </c>
      <c r="T416" s="905" t="s">
        <v>4960</v>
      </c>
      <c r="V416" s="203">
        <f>300000-216840</f>
        <v>83160</v>
      </c>
      <c r="Y416" s="834">
        <v>83160</v>
      </c>
      <c r="Z416" s="830">
        <f>H416-X416+Y416</f>
        <v>83160</v>
      </c>
      <c r="AA416" s="831">
        <v>600000</v>
      </c>
      <c r="AB416" s="84">
        <f t="shared" si="60"/>
        <v>-516840</v>
      </c>
      <c r="AE416" s="84">
        <f>H416-AA416</f>
        <v>-600000</v>
      </c>
    </row>
    <row r="417" spans="1:31" ht="45.75" thickBot="1" x14ac:dyDescent="0.3">
      <c r="A417" s="881"/>
      <c r="B417" s="882"/>
      <c r="C417" s="901"/>
      <c r="D417" s="881"/>
      <c r="E417" s="902" t="s">
        <v>5456</v>
      </c>
      <c r="F417" s="903">
        <v>484</v>
      </c>
      <c r="G417" s="963" t="s">
        <v>3823</v>
      </c>
      <c r="H417" s="887">
        <v>1144372</v>
      </c>
      <c r="I417" s="887">
        <f>1237291.23+130000</f>
        <v>1367291.23</v>
      </c>
      <c r="J417" s="888">
        <f>I417/H417</f>
        <v>1.1947961239876543</v>
      </c>
      <c r="K417" s="887">
        <f>H417-I417</f>
        <v>-222919.22999999998</v>
      </c>
      <c r="L417" s="889">
        <v>0</v>
      </c>
      <c r="M417" s="889">
        <v>0</v>
      </c>
      <c r="N417" s="890"/>
      <c r="O417" s="889">
        <f>L417-M417</f>
        <v>0</v>
      </c>
      <c r="P417" s="889">
        <f>L417+H417</f>
        <v>1144372</v>
      </c>
      <c r="Q417" s="889">
        <f>M417+I417</f>
        <v>1367291.23</v>
      </c>
      <c r="R417" s="890">
        <f>Q417/P417</f>
        <v>1.1947961239876543</v>
      </c>
      <c r="S417" s="891">
        <f>P417-Q417</f>
        <v>-222919.22999999998</v>
      </c>
      <c r="T417" s="905"/>
      <c r="V417" s="203">
        <f>I417*1.25</f>
        <v>1709114.0375000001</v>
      </c>
      <c r="W417" s="203">
        <f>V417-I417</f>
        <v>341822.80750000011</v>
      </c>
      <c r="Y417" s="834">
        <v>200000</v>
      </c>
      <c r="Z417" s="830">
        <f>H417-X417+Y417</f>
        <v>1344372</v>
      </c>
      <c r="AA417" s="831">
        <v>1255691.23</v>
      </c>
      <c r="AB417" s="84">
        <f t="shared" si="60"/>
        <v>88680.770000000019</v>
      </c>
      <c r="AE417" s="84">
        <f>H417-AA417</f>
        <v>-111319.22999999998</v>
      </c>
    </row>
    <row r="418" spans="1:31" x14ac:dyDescent="0.25">
      <c r="A418" s="884"/>
      <c r="B418" s="885"/>
      <c r="C418" s="907"/>
      <c r="D418" s="884"/>
      <c r="E418" s="908"/>
      <c r="F418" s="909"/>
      <c r="G418" s="910" t="s">
        <v>4188</v>
      </c>
      <c r="H418" s="911"/>
      <c r="I418" s="911"/>
      <c r="J418" s="912"/>
      <c r="K418" s="911"/>
      <c r="L418" s="913"/>
      <c r="M418" s="913"/>
      <c r="N418" s="914"/>
      <c r="O418" s="913"/>
      <c r="P418" s="913"/>
      <c r="Q418" s="913"/>
      <c r="R418" s="914"/>
      <c r="S418" s="911"/>
      <c r="AB418" s="84">
        <f t="shared" si="60"/>
        <v>0</v>
      </c>
    </row>
    <row r="419" spans="1:31" ht="15.75" thickBot="1" x14ac:dyDescent="0.3">
      <c r="A419" s="884"/>
      <c r="B419" s="885"/>
      <c r="C419" s="907"/>
      <c r="D419" s="884"/>
      <c r="E419" s="915"/>
      <c r="F419" s="916" t="s">
        <v>235</v>
      </c>
      <c r="G419" s="917" t="s">
        <v>236</v>
      </c>
      <c r="H419" s="887">
        <f>SUM(H416:H417)</f>
        <v>1144372</v>
      </c>
      <c r="I419" s="887">
        <f>SUM(I416:I417)</f>
        <v>1750451.23</v>
      </c>
      <c r="J419" s="888">
        <f>I419/H419</f>
        <v>1.5296173184943358</v>
      </c>
      <c r="K419" s="887">
        <f>SUM(K416:K417)</f>
        <v>-606079.23</v>
      </c>
      <c r="L419" s="918">
        <f>SUM(L416)</f>
        <v>0</v>
      </c>
      <c r="M419" s="918">
        <f>SUM(M416)</f>
        <v>0</v>
      </c>
      <c r="N419" s="919"/>
      <c r="O419" s="918">
        <f>L419-M419</f>
        <v>0</v>
      </c>
      <c r="P419" s="918">
        <f>L419+H419</f>
        <v>1144372</v>
      </c>
      <c r="Q419" s="918">
        <f>M419+I419</f>
        <v>1750451.23</v>
      </c>
      <c r="R419" s="919">
        <f>Q419/P419</f>
        <v>1.5296173184943358</v>
      </c>
      <c r="S419" s="918">
        <f>P419-Q419</f>
        <v>-606079.23</v>
      </c>
      <c r="AB419" s="84">
        <f t="shared" si="60"/>
        <v>0</v>
      </c>
    </row>
    <row r="420" spans="1:31" ht="15.75" thickBot="1" x14ac:dyDescent="0.3">
      <c r="A420" s="884"/>
      <c r="B420" s="885"/>
      <c r="C420" s="907"/>
      <c r="D420" s="884"/>
      <c r="E420" s="885"/>
      <c r="F420" s="884"/>
      <c r="G420" s="920" t="s">
        <v>4189</v>
      </c>
      <c r="H420" s="921">
        <f>SUM(H419)</f>
        <v>1144372</v>
      </c>
      <c r="I420" s="921">
        <f>SUM(I419)</f>
        <v>1750451.23</v>
      </c>
      <c r="J420" s="922">
        <f>I420/H420</f>
        <v>1.5296173184943358</v>
      </c>
      <c r="K420" s="921">
        <f>SUM(K419)</f>
        <v>-606079.23</v>
      </c>
      <c r="L420" s="923">
        <f>SUM(L419)</f>
        <v>0</v>
      </c>
      <c r="M420" s="923">
        <f>SUM(M419)</f>
        <v>0</v>
      </c>
      <c r="N420" s="924"/>
      <c r="O420" s="923">
        <f>L420-M420</f>
        <v>0</v>
      </c>
      <c r="P420" s="923">
        <f>SUM(P419)</f>
        <v>1144372</v>
      </c>
      <c r="Q420" s="923">
        <f>M420+I420</f>
        <v>1750451.23</v>
      </c>
      <c r="R420" s="924">
        <f>Q420/P420</f>
        <v>1.5296173184943358</v>
      </c>
      <c r="S420" s="923">
        <f>P420-Q420</f>
        <v>-606079.23</v>
      </c>
      <c r="AB420" s="84">
        <f t="shared" si="60"/>
        <v>0</v>
      </c>
    </row>
    <row r="421" spans="1:31" ht="28.5" x14ac:dyDescent="0.25">
      <c r="A421" s="884"/>
      <c r="B421" s="885"/>
      <c r="C421" s="907"/>
      <c r="D421" s="884"/>
      <c r="E421" s="908"/>
      <c r="F421" s="909"/>
      <c r="G421" s="925" t="s">
        <v>4944</v>
      </c>
      <c r="H421" s="926"/>
      <c r="I421" s="927"/>
      <c r="J421" s="928"/>
      <c r="K421" s="927"/>
      <c r="L421" s="929"/>
      <c r="M421" s="930"/>
      <c r="N421" s="931"/>
      <c r="O421" s="930"/>
      <c r="P421" s="930"/>
      <c r="Q421" s="930"/>
      <c r="R421" s="931"/>
      <c r="S421" s="932"/>
      <c r="AB421" s="84">
        <f t="shared" si="60"/>
        <v>0</v>
      </c>
    </row>
    <row r="422" spans="1:31" ht="15.75" thickBot="1" x14ac:dyDescent="0.3">
      <c r="A422" s="884"/>
      <c r="B422" s="885"/>
      <c r="C422" s="907"/>
      <c r="D422" s="884"/>
      <c r="E422" s="915"/>
      <c r="F422" s="916" t="s">
        <v>235</v>
      </c>
      <c r="G422" s="917" t="s">
        <v>236</v>
      </c>
      <c r="H422" s="887">
        <f>SUM(H420)</f>
        <v>1144372</v>
      </c>
      <c r="I422" s="887">
        <f>SUM(I420)</f>
        <v>1750451.23</v>
      </c>
      <c r="J422" s="888">
        <f t="shared" ref="J422:S422" si="63">SUM(J420)</f>
        <v>1.5296173184943358</v>
      </c>
      <c r="K422" s="887">
        <f t="shared" si="63"/>
        <v>-606079.23</v>
      </c>
      <c r="L422" s="918">
        <f t="shared" si="63"/>
        <v>0</v>
      </c>
      <c r="M422" s="918">
        <f t="shared" si="63"/>
        <v>0</v>
      </c>
      <c r="N422" s="919"/>
      <c r="O422" s="918">
        <f t="shared" si="63"/>
        <v>0</v>
      </c>
      <c r="P422" s="918">
        <f t="shared" si="63"/>
        <v>1144372</v>
      </c>
      <c r="Q422" s="918">
        <f t="shared" si="63"/>
        <v>1750451.23</v>
      </c>
      <c r="R422" s="919">
        <f t="shared" si="63"/>
        <v>1.5296173184943358</v>
      </c>
      <c r="S422" s="918">
        <f t="shared" si="63"/>
        <v>-606079.23</v>
      </c>
      <c r="AB422" s="84">
        <f t="shared" si="60"/>
        <v>0</v>
      </c>
    </row>
    <row r="423" spans="1:31" ht="15.75" thickBot="1" x14ac:dyDescent="0.3">
      <c r="A423" s="884"/>
      <c r="B423" s="885"/>
      <c r="C423" s="907"/>
      <c r="D423" s="884"/>
      <c r="E423" s="885"/>
      <c r="F423" s="884"/>
      <c r="G423" s="920" t="s">
        <v>4945</v>
      </c>
      <c r="H423" s="921">
        <f>SUM(H422)</f>
        <v>1144372</v>
      </c>
      <c r="I423" s="921">
        <f>SUM(I422)</f>
        <v>1750451.23</v>
      </c>
      <c r="J423" s="922">
        <f>I423/H423</f>
        <v>1.5296173184943358</v>
      </c>
      <c r="K423" s="921">
        <f>SUM(K422)</f>
        <v>-606079.23</v>
      </c>
      <c r="L423" s="923">
        <f>SUM(L422)</f>
        <v>0</v>
      </c>
      <c r="M423" s="923">
        <f>SUM(M422)</f>
        <v>0</v>
      </c>
      <c r="N423" s="924"/>
      <c r="O423" s="923">
        <f>SUM(O422)</f>
        <v>0</v>
      </c>
      <c r="P423" s="923">
        <f>SUM(P422)</f>
        <v>1144372</v>
      </c>
      <c r="Q423" s="923">
        <f>SUM(Q422)</f>
        <v>1750451.23</v>
      </c>
      <c r="R423" s="924">
        <f>Q423/P423</f>
        <v>1.5296173184943358</v>
      </c>
      <c r="S423" s="923">
        <f>SUM(S422)</f>
        <v>-606079.23</v>
      </c>
      <c r="AB423" s="84">
        <f t="shared" si="60"/>
        <v>0</v>
      </c>
    </row>
    <row r="424" spans="1:31" x14ac:dyDescent="0.25">
      <c r="A424" s="884"/>
      <c r="B424" s="885"/>
      <c r="C424" s="907"/>
      <c r="D424" s="884"/>
      <c r="E424" s="885"/>
      <c r="F424" s="884"/>
      <c r="G424" s="962"/>
      <c r="H424" s="964"/>
      <c r="I424" s="964"/>
      <c r="J424" s="965"/>
      <c r="K424" s="964"/>
      <c r="L424" s="966"/>
      <c r="M424" s="966"/>
      <c r="N424" s="967"/>
      <c r="O424" s="966"/>
      <c r="P424" s="966"/>
      <c r="Q424" s="966"/>
      <c r="R424" s="967"/>
      <c r="S424" s="966"/>
      <c r="AB424" s="84">
        <f t="shared" si="60"/>
        <v>0</v>
      </c>
    </row>
    <row r="425" spans="1:31" x14ac:dyDescent="0.25">
      <c r="A425" s="881"/>
      <c r="B425" s="882"/>
      <c r="C425" s="961" t="s">
        <v>5150</v>
      </c>
      <c r="D425" s="894"/>
      <c r="E425" s="895"/>
      <c r="F425" s="896"/>
      <c r="G425" s="897" t="s">
        <v>5151</v>
      </c>
      <c r="H425" s="887"/>
      <c r="I425" s="887"/>
      <c r="J425" s="888"/>
      <c r="K425" s="887"/>
      <c r="L425" s="889"/>
      <c r="M425" s="889"/>
      <c r="N425" s="890"/>
      <c r="O425" s="889"/>
      <c r="P425" s="889"/>
      <c r="Q425" s="889"/>
      <c r="R425" s="890"/>
      <c r="S425" s="891"/>
      <c r="AB425" s="84">
        <f t="shared" si="60"/>
        <v>0</v>
      </c>
    </row>
    <row r="426" spans="1:31" x14ac:dyDescent="0.25">
      <c r="A426" s="881"/>
      <c r="B426" s="882"/>
      <c r="C426" s="883"/>
      <c r="D426" s="898">
        <v>630</v>
      </c>
      <c r="E426" s="899"/>
      <c r="F426" s="898"/>
      <c r="G426" s="900" t="s">
        <v>184</v>
      </c>
      <c r="H426" s="887"/>
      <c r="I426" s="887"/>
      <c r="J426" s="888"/>
      <c r="K426" s="887"/>
      <c r="L426" s="889"/>
      <c r="M426" s="889"/>
      <c r="N426" s="890"/>
      <c r="O426" s="889"/>
      <c r="P426" s="889"/>
      <c r="Q426" s="889"/>
      <c r="R426" s="890"/>
      <c r="S426" s="891"/>
      <c r="AB426" s="84">
        <f t="shared" si="60"/>
        <v>0</v>
      </c>
    </row>
    <row r="427" spans="1:31" ht="30" x14ac:dyDescent="0.25">
      <c r="A427" s="881"/>
      <c r="B427" s="882"/>
      <c r="C427" s="901"/>
      <c r="D427" s="881"/>
      <c r="E427" s="902" t="s">
        <v>5457</v>
      </c>
      <c r="F427" s="903">
        <v>451</v>
      </c>
      <c r="G427" s="906" t="s">
        <v>1691</v>
      </c>
      <c r="H427" s="887">
        <f>12000000+750000</f>
        <v>12750000</v>
      </c>
      <c r="I427" s="887">
        <v>3750000</v>
      </c>
      <c r="J427" s="888">
        <f>I427/H427</f>
        <v>0.29411764705882354</v>
      </c>
      <c r="K427" s="887">
        <f>H427-I427</f>
        <v>9000000</v>
      </c>
      <c r="L427" s="889">
        <v>0</v>
      </c>
      <c r="M427" s="889">
        <v>0</v>
      </c>
      <c r="N427" s="890"/>
      <c r="O427" s="889">
        <f>L427-M427</f>
        <v>0</v>
      </c>
      <c r="P427" s="889">
        <f>L427+H427</f>
        <v>12750000</v>
      </c>
      <c r="Q427" s="889">
        <f>M427+I427</f>
        <v>3750000</v>
      </c>
      <c r="R427" s="890">
        <f>Q427/P427</f>
        <v>0.29411764705882354</v>
      </c>
      <c r="S427" s="891">
        <f>P427-Q427</f>
        <v>9000000</v>
      </c>
      <c r="T427" s="905" t="s">
        <v>5156</v>
      </c>
      <c r="Z427" s="830">
        <f>H427-X427+Y427</f>
        <v>12750000</v>
      </c>
      <c r="AA427" s="831">
        <v>9000000</v>
      </c>
      <c r="AB427" s="84">
        <f t="shared" si="60"/>
        <v>3750000</v>
      </c>
      <c r="AE427" s="84">
        <f>H427-AA427</f>
        <v>3750000</v>
      </c>
    </row>
    <row r="428" spans="1:31" ht="15.75" thickBot="1" x14ac:dyDescent="0.3">
      <c r="A428" s="881"/>
      <c r="B428" s="882"/>
      <c r="C428" s="901"/>
      <c r="D428" s="881"/>
      <c r="E428" s="902" t="s">
        <v>5458</v>
      </c>
      <c r="F428" s="903">
        <v>511</v>
      </c>
      <c r="G428" s="906" t="s">
        <v>4141</v>
      </c>
      <c r="H428" s="887">
        <v>2000000</v>
      </c>
      <c r="I428" s="887">
        <v>3750000</v>
      </c>
      <c r="J428" s="888">
        <f>I428/H428</f>
        <v>1.875</v>
      </c>
      <c r="K428" s="887">
        <f>H428-I428</f>
        <v>-1750000</v>
      </c>
      <c r="L428" s="889">
        <v>0</v>
      </c>
      <c r="M428" s="889">
        <v>0</v>
      </c>
      <c r="N428" s="890"/>
      <c r="O428" s="889">
        <f>L428-M428</f>
        <v>0</v>
      </c>
      <c r="P428" s="889">
        <f>L428+H428</f>
        <v>2000000</v>
      </c>
      <c r="Q428" s="889"/>
      <c r="R428" s="890"/>
      <c r="S428" s="891"/>
      <c r="T428" s="905"/>
    </row>
    <row r="429" spans="1:31" x14ac:dyDescent="0.25">
      <c r="A429" s="884"/>
      <c r="B429" s="885"/>
      <c r="C429" s="907"/>
      <c r="D429" s="884"/>
      <c r="E429" s="908"/>
      <c r="F429" s="909"/>
      <c r="G429" s="910" t="s">
        <v>4950</v>
      </c>
      <c r="H429" s="911"/>
      <c r="I429" s="911"/>
      <c r="J429" s="912"/>
      <c r="K429" s="911"/>
      <c r="L429" s="913"/>
      <c r="M429" s="913"/>
      <c r="N429" s="914"/>
      <c r="O429" s="913"/>
      <c r="P429" s="913"/>
      <c r="Q429" s="913"/>
      <c r="R429" s="914"/>
      <c r="S429" s="911"/>
      <c r="AB429" s="84">
        <f t="shared" si="60"/>
        <v>0</v>
      </c>
    </row>
    <row r="430" spans="1:31" ht="15.75" thickBot="1" x14ac:dyDescent="0.3">
      <c r="A430" s="884"/>
      <c r="B430" s="885"/>
      <c r="C430" s="907"/>
      <c r="D430" s="884"/>
      <c r="E430" s="915"/>
      <c r="F430" s="916" t="s">
        <v>235</v>
      </c>
      <c r="G430" s="917" t="s">
        <v>236</v>
      </c>
      <c r="H430" s="887">
        <f>SUM(H427:H428)</f>
        <v>14750000</v>
      </c>
      <c r="I430" s="887">
        <f>SUM(I427:I427)</f>
        <v>3750000</v>
      </c>
      <c r="J430" s="888">
        <f>I430/H430</f>
        <v>0.25423728813559321</v>
      </c>
      <c r="K430" s="887">
        <f>SUM(K427:K427)</f>
        <v>9000000</v>
      </c>
      <c r="L430" s="918">
        <f>SUM(L427)</f>
        <v>0</v>
      </c>
      <c r="M430" s="918">
        <f>SUM(M427)</f>
        <v>0</v>
      </c>
      <c r="N430" s="919"/>
      <c r="O430" s="918">
        <f>L430-M430</f>
        <v>0</v>
      </c>
      <c r="P430" s="918">
        <f>L430+H430</f>
        <v>14750000</v>
      </c>
      <c r="Q430" s="918">
        <f>M430+I430</f>
        <v>3750000</v>
      </c>
      <c r="R430" s="919">
        <f>Q430/P430</f>
        <v>0.25423728813559321</v>
      </c>
      <c r="S430" s="918">
        <f>P430-Q430</f>
        <v>11000000</v>
      </c>
      <c r="AB430" s="84">
        <f t="shared" si="60"/>
        <v>0</v>
      </c>
    </row>
    <row r="431" spans="1:31" ht="15.75" thickBot="1" x14ac:dyDescent="0.3">
      <c r="A431" s="884"/>
      <c r="B431" s="885"/>
      <c r="C431" s="907"/>
      <c r="D431" s="884"/>
      <c r="E431" s="885"/>
      <c r="F431" s="884"/>
      <c r="G431" s="920" t="s">
        <v>4953</v>
      </c>
      <c r="H431" s="921">
        <f>SUM(H430)</f>
        <v>14750000</v>
      </c>
      <c r="I431" s="921">
        <f>SUM(I430)</f>
        <v>3750000</v>
      </c>
      <c r="J431" s="922">
        <f>I431/H431</f>
        <v>0.25423728813559321</v>
      </c>
      <c r="K431" s="921">
        <f>SUM(K430)</f>
        <v>9000000</v>
      </c>
      <c r="L431" s="923">
        <f>SUM(L430)</f>
        <v>0</v>
      </c>
      <c r="M431" s="923">
        <f>SUM(M430)</f>
        <v>0</v>
      </c>
      <c r="N431" s="924"/>
      <c r="O431" s="923">
        <f>L431-M431</f>
        <v>0</v>
      </c>
      <c r="P431" s="923">
        <f>SUM(P430)</f>
        <v>14750000</v>
      </c>
      <c r="Q431" s="923">
        <f>M431+I431</f>
        <v>3750000</v>
      </c>
      <c r="R431" s="924">
        <f>Q431/P431</f>
        <v>0.25423728813559321</v>
      </c>
      <c r="S431" s="923">
        <f>P431-Q431</f>
        <v>11000000</v>
      </c>
      <c r="AB431" s="84">
        <f t="shared" si="60"/>
        <v>0</v>
      </c>
    </row>
    <row r="432" spans="1:31" ht="28.5" x14ac:dyDescent="0.25">
      <c r="A432" s="884"/>
      <c r="B432" s="885"/>
      <c r="C432" s="907"/>
      <c r="D432" s="884"/>
      <c r="E432" s="908"/>
      <c r="F432" s="909"/>
      <c r="G432" s="925" t="s">
        <v>4946</v>
      </c>
      <c r="H432" s="926"/>
      <c r="I432" s="927"/>
      <c r="J432" s="928"/>
      <c r="K432" s="927"/>
      <c r="L432" s="929"/>
      <c r="M432" s="930"/>
      <c r="N432" s="931"/>
      <c r="O432" s="930"/>
      <c r="P432" s="930"/>
      <c r="Q432" s="930"/>
      <c r="R432" s="931"/>
      <c r="S432" s="932"/>
      <c r="AB432" s="84">
        <f t="shared" si="60"/>
        <v>0</v>
      </c>
    </row>
    <row r="433" spans="1:31" ht="15.75" thickBot="1" x14ac:dyDescent="0.3">
      <c r="A433" s="884"/>
      <c r="B433" s="885"/>
      <c r="C433" s="907"/>
      <c r="D433" s="884"/>
      <c r="E433" s="915"/>
      <c r="F433" s="916" t="s">
        <v>235</v>
      </c>
      <c r="G433" s="917" t="s">
        <v>236</v>
      </c>
      <c r="H433" s="887">
        <f t="shared" ref="H433:M433" si="64">SUM(H431)</f>
        <v>14750000</v>
      </c>
      <c r="I433" s="887">
        <f t="shared" si="64"/>
        <v>3750000</v>
      </c>
      <c r="J433" s="888">
        <f t="shared" si="64"/>
        <v>0.25423728813559321</v>
      </c>
      <c r="K433" s="887">
        <f t="shared" si="64"/>
        <v>9000000</v>
      </c>
      <c r="L433" s="918">
        <f t="shared" si="64"/>
        <v>0</v>
      </c>
      <c r="M433" s="918">
        <f t="shared" si="64"/>
        <v>0</v>
      </c>
      <c r="N433" s="919"/>
      <c r="O433" s="918">
        <f>SUM(O431)</f>
        <v>0</v>
      </c>
      <c r="P433" s="918">
        <f>SUM(P431)</f>
        <v>14750000</v>
      </c>
      <c r="Q433" s="918">
        <f>SUM(Q431)</f>
        <v>3750000</v>
      </c>
      <c r="R433" s="919">
        <f>SUM(R431)</f>
        <v>0.25423728813559321</v>
      </c>
      <c r="S433" s="918">
        <f>SUM(S431)</f>
        <v>11000000</v>
      </c>
      <c r="AB433" s="84">
        <f t="shared" si="60"/>
        <v>0</v>
      </c>
    </row>
    <row r="434" spans="1:31" ht="15.75" thickBot="1" x14ac:dyDescent="0.3">
      <c r="A434" s="884"/>
      <c r="B434" s="885"/>
      <c r="C434" s="907"/>
      <c r="D434" s="884"/>
      <c r="E434" s="885"/>
      <c r="F434" s="884"/>
      <c r="G434" s="920" t="s">
        <v>4947</v>
      </c>
      <c r="H434" s="921">
        <f>SUM(H433)</f>
        <v>14750000</v>
      </c>
      <c r="I434" s="921">
        <f>SUM(I433)</f>
        <v>3750000</v>
      </c>
      <c r="J434" s="922">
        <f>I434/H434</f>
        <v>0.25423728813559321</v>
      </c>
      <c r="K434" s="921">
        <f>SUM(K433)</f>
        <v>9000000</v>
      </c>
      <c r="L434" s="923">
        <f>SUM(L433)</f>
        <v>0</v>
      </c>
      <c r="M434" s="923">
        <f>SUM(M433)</f>
        <v>0</v>
      </c>
      <c r="N434" s="924"/>
      <c r="O434" s="923">
        <f>SUM(O433)</f>
        <v>0</v>
      </c>
      <c r="P434" s="923">
        <f>SUM(P433)</f>
        <v>14750000</v>
      </c>
      <c r="Q434" s="923">
        <f>SUM(Q433)</f>
        <v>3750000</v>
      </c>
      <c r="R434" s="924">
        <f>Q434/P434</f>
        <v>0.25423728813559321</v>
      </c>
      <c r="S434" s="923">
        <f>SUM(S433)</f>
        <v>11000000</v>
      </c>
      <c r="AB434" s="84">
        <f t="shared" si="60"/>
        <v>0</v>
      </c>
    </row>
    <row r="435" spans="1:31" x14ac:dyDescent="0.25">
      <c r="A435" s="884"/>
      <c r="B435" s="885"/>
      <c r="C435" s="907"/>
      <c r="D435" s="884"/>
      <c r="E435" s="885"/>
      <c r="F435" s="884"/>
      <c r="G435" s="962"/>
      <c r="H435" s="964"/>
      <c r="I435" s="964"/>
      <c r="J435" s="965"/>
      <c r="K435" s="964"/>
      <c r="L435" s="966"/>
      <c r="M435" s="966"/>
      <c r="N435" s="967"/>
      <c r="O435" s="966"/>
      <c r="P435" s="966"/>
      <c r="Q435" s="966"/>
      <c r="R435" s="967"/>
      <c r="S435" s="966"/>
      <c r="AB435" s="84">
        <f t="shared" si="60"/>
        <v>0</v>
      </c>
    </row>
    <row r="436" spans="1:31" s="972" customFormat="1" ht="57" x14ac:dyDescent="0.25">
      <c r="A436" s="767"/>
      <c r="B436" s="768"/>
      <c r="C436" s="968" t="s">
        <v>4949</v>
      </c>
      <c r="D436" s="767"/>
      <c r="E436" s="768"/>
      <c r="F436" s="969"/>
      <c r="G436" s="869" t="s">
        <v>5480</v>
      </c>
      <c r="H436" s="774"/>
      <c r="I436" s="774"/>
      <c r="J436" s="775"/>
      <c r="K436" s="774"/>
      <c r="L436" s="776"/>
      <c r="M436" s="776"/>
      <c r="N436" s="777"/>
      <c r="O436" s="776"/>
      <c r="P436" s="776"/>
      <c r="Q436" s="776"/>
      <c r="R436" s="777"/>
      <c r="S436" s="970"/>
      <c r="T436" s="971"/>
      <c r="V436" s="973"/>
      <c r="W436" s="973"/>
      <c r="X436" s="833"/>
      <c r="Y436" s="834"/>
      <c r="Z436" s="830"/>
      <c r="AA436" s="831"/>
      <c r="AB436" s="972">
        <f t="shared" si="60"/>
        <v>0</v>
      </c>
    </row>
    <row r="437" spans="1:31" s="972" customFormat="1" x14ac:dyDescent="0.25">
      <c r="A437" s="767"/>
      <c r="B437" s="768"/>
      <c r="C437" s="974"/>
      <c r="D437" s="778">
        <v>630</v>
      </c>
      <c r="E437" s="779"/>
      <c r="F437" s="778"/>
      <c r="G437" s="975" t="s">
        <v>184</v>
      </c>
      <c r="H437" s="774"/>
      <c r="I437" s="774"/>
      <c r="J437" s="775"/>
      <c r="K437" s="774"/>
      <c r="L437" s="776"/>
      <c r="M437" s="776"/>
      <c r="N437" s="777"/>
      <c r="O437" s="776"/>
      <c r="P437" s="776"/>
      <c r="Q437" s="776"/>
      <c r="R437" s="777"/>
      <c r="S437" s="970"/>
      <c r="T437" s="971"/>
      <c r="V437" s="973"/>
      <c r="W437" s="973"/>
      <c r="X437" s="833"/>
      <c r="Y437" s="834"/>
      <c r="Z437" s="830"/>
      <c r="AA437" s="831"/>
      <c r="AB437" s="972">
        <f t="shared" si="60"/>
        <v>0</v>
      </c>
    </row>
    <row r="438" spans="1:31" s="972" customFormat="1" ht="15.75" thickBot="1" x14ac:dyDescent="0.3">
      <c r="A438" s="767"/>
      <c r="B438" s="768"/>
      <c r="C438" s="968"/>
      <c r="D438" s="767"/>
      <c r="E438" s="976" t="s">
        <v>5479</v>
      </c>
      <c r="F438" s="969">
        <v>511</v>
      </c>
      <c r="G438" s="783" t="s">
        <v>4141</v>
      </c>
      <c r="H438" s="774">
        <v>3840000</v>
      </c>
      <c r="I438" s="774">
        <f>226512</f>
        <v>226512</v>
      </c>
      <c r="J438" s="775">
        <f>I438/H438</f>
        <v>5.8987499999999998E-2</v>
      </c>
      <c r="K438" s="774">
        <f>H438-I438</f>
        <v>3613488</v>
      </c>
      <c r="L438" s="776">
        <v>0</v>
      </c>
      <c r="M438" s="776">
        <v>0</v>
      </c>
      <c r="N438" s="777"/>
      <c r="O438" s="776">
        <f>L438-M438</f>
        <v>0</v>
      </c>
      <c r="P438" s="776">
        <f>L438+H438</f>
        <v>3840000</v>
      </c>
      <c r="Q438" s="776">
        <f>M438+I438</f>
        <v>226512</v>
      </c>
      <c r="R438" s="777">
        <f>Q438/P438</f>
        <v>5.8987499999999998E-2</v>
      </c>
      <c r="S438" s="970">
        <f>P438-Q438</f>
        <v>3613488</v>
      </c>
      <c r="T438" s="971"/>
      <c r="V438" s="973">
        <f>1200000-773488</f>
        <v>426512</v>
      </c>
      <c r="W438" s="973"/>
      <c r="X438" s="833"/>
      <c r="Y438" s="834">
        <v>426512</v>
      </c>
      <c r="Z438" s="830">
        <f>H438-X438+Y438</f>
        <v>4266512</v>
      </c>
      <c r="AA438" s="831">
        <v>1000000</v>
      </c>
      <c r="AB438" s="972">
        <f t="shared" si="60"/>
        <v>3266512</v>
      </c>
      <c r="AE438" s="972">
        <f>H438-AA438</f>
        <v>2840000</v>
      </c>
    </row>
    <row r="439" spans="1:31" x14ac:dyDescent="0.25">
      <c r="E439" s="784"/>
      <c r="F439" s="785"/>
      <c r="G439" s="786" t="s">
        <v>4950</v>
      </c>
      <c r="H439" s="787"/>
      <c r="I439" s="787"/>
      <c r="J439" s="788"/>
      <c r="K439" s="787"/>
      <c r="L439" s="789"/>
      <c r="M439" s="789"/>
      <c r="N439" s="790"/>
      <c r="O439" s="789"/>
      <c r="P439" s="789"/>
      <c r="Q439" s="789"/>
      <c r="R439" s="790"/>
      <c r="S439" s="877"/>
      <c r="AB439" s="84">
        <f t="shared" si="60"/>
        <v>0</v>
      </c>
    </row>
    <row r="440" spans="1:31" ht="15.75" thickBot="1" x14ac:dyDescent="0.3">
      <c r="E440" s="791"/>
      <c r="F440" s="792" t="s">
        <v>235</v>
      </c>
      <c r="G440" s="793" t="s">
        <v>236</v>
      </c>
      <c r="H440" s="794">
        <f>SUM(H438:H438)</f>
        <v>3840000</v>
      </c>
      <c r="I440" s="794">
        <f>SUM(I438:I438)</f>
        <v>226512</v>
      </c>
      <c r="J440" s="795">
        <f>I440/H440</f>
        <v>5.8987499999999998E-2</v>
      </c>
      <c r="K440" s="794">
        <f>H440-I440</f>
        <v>3613488</v>
      </c>
      <c r="L440" s="796">
        <v>0</v>
      </c>
      <c r="M440" s="796">
        <f>SUM(M438:M438)</f>
        <v>0</v>
      </c>
      <c r="N440" s="797"/>
      <c r="O440" s="796">
        <v>0</v>
      </c>
      <c r="P440" s="796">
        <f>L440+H440</f>
        <v>3840000</v>
      </c>
      <c r="Q440" s="796">
        <f>M440+I440</f>
        <v>226512</v>
      </c>
      <c r="R440" s="797">
        <f>Q440/P440</f>
        <v>5.8987499999999998E-2</v>
      </c>
      <c r="S440" s="796">
        <f>P440-Q440</f>
        <v>3613488</v>
      </c>
      <c r="AB440" s="84">
        <f t="shared" si="60"/>
        <v>0</v>
      </c>
    </row>
    <row r="441" spans="1:31" ht="15.75" hidden="1" thickBot="1" x14ac:dyDescent="0.3">
      <c r="E441" s="791"/>
      <c r="F441" s="792">
        <v>10</v>
      </c>
      <c r="G441" s="793" t="s">
        <v>4948</v>
      </c>
      <c r="H441" s="794">
        <v>0</v>
      </c>
      <c r="I441" s="794"/>
      <c r="J441" s="795"/>
      <c r="K441" s="794"/>
      <c r="L441" s="796">
        <f>L438</f>
        <v>0</v>
      </c>
      <c r="M441" s="796">
        <f>M438</f>
        <v>0</v>
      </c>
      <c r="N441" s="797"/>
      <c r="O441" s="796">
        <f>O438</f>
        <v>0</v>
      </c>
      <c r="P441" s="796">
        <f>L441+H441</f>
        <v>0</v>
      </c>
      <c r="Q441" s="796">
        <f>M441+I441</f>
        <v>0</v>
      </c>
      <c r="R441" s="797" t="e">
        <f>Q441/P441</f>
        <v>#DIV/0!</v>
      </c>
      <c r="S441" s="796">
        <f>P441-Q441</f>
        <v>0</v>
      </c>
      <c r="AB441" s="84">
        <f t="shared" si="60"/>
        <v>0</v>
      </c>
    </row>
    <row r="442" spans="1:31" ht="15.75" thickBot="1" x14ac:dyDescent="0.3">
      <c r="G442" s="798" t="s">
        <v>4953</v>
      </c>
      <c r="H442" s="799">
        <f>SUM(H440:H441)</f>
        <v>3840000</v>
      </c>
      <c r="I442" s="799">
        <f>SUM(I440:I441)</f>
        <v>226512</v>
      </c>
      <c r="J442" s="800">
        <f>I442/H442</f>
        <v>5.8987499999999998E-2</v>
      </c>
      <c r="K442" s="799">
        <f>SUM(K440:K441)</f>
        <v>3613488</v>
      </c>
      <c r="L442" s="801">
        <f>SUM(L440:L441)</f>
        <v>0</v>
      </c>
      <c r="M442" s="801">
        <f>SUM(M440:M441)</f>
        <v>0</v>
      </c>
      <c r="N442" s="802"/>
      <c r="O442" s="801">
        <f>SUM(O440:O441)</f>
        <v>0</v>
      </c>
      <c r="P442" s="801">
        <f>SUM(P440:P441)</f>
        <v>3840000</v>
      </c>
      <c r="Q442" s="801">
        <f>SUM(Q440:Q441)</f>
        <v>226512</v>
      </c>
      <c r="R442" s="802">
        <f>Q442/P442</f>
        <v>5.8987499999999998E-2</v>
      </c>
      <c r="S442" s="801">
        <f>SUM(S440:S441)</f>
        <v>3613488</v>
      </c>
      <c r="AB442" s="84">
        <f t="shared" si="60"/>
        <v>0</v>
      </c>
    </row>
    <row r="443" spans="1:31" collapsed="1" x14ac:dyDescent="0.25">
      <c r="E443" s="784"/>
      <c r="F443" s="785"/>
      <c r="G443" s="803" t="s">
        <v>4951</v>
      </c>
      <c r="H443" s="804"/>
      <c r="I443" s="805"/>
      <c r="J443" s="806"/>
      <c r="K443" s="805"/>
      <c r="L443" s="807"/>
      <c r="M443" s="808"/>
      <c r="N443" s="809"/>
      <c r="O443" s="808"/>
      <c r="P443" s="808"/>
      <c r="Q443" s="808"/>
      <c r="R443" s="809"/>
      <c r="S443" s="878"/>
      <c r="AB443" s="84">
        <f t="shared" si="60"/>
        <v>0</v>
      </c>
    </row>
    <row r="444" spans="1:31" ht="15.75" thickBot="1" x14ac:dyDescent="0.3">
      <c r="E444" s="791"/>
      <c r="F444" s="792" t="s">
        <v>235</v>
      </c>
      <c r="G444" s="793" t="s">
        <v>236</v>
      </c>
      <c r="H444" s="794">
        <f>SUM(H440)</f>
        <v>3840000</v>
      </c>
      <c r="I444" s="794">
        <f>SUM(I440)</f>
        <v>226512</v>
      </c>
      <c r="J444" s="795">
        <f>I444/H444</f>
        <v>5.8987499999999998E-2</v>
      </c>
      <c r="K444" s="794">
        <f>SUM(K440)</f>
        <v>3613488</v>
      </c>
      <c r="L444" s="796">
        <f t="shared" ref="L444:S444" si="65">SUM(L440)</f>
        <v>0</v>
      </c>
      <c r="M444" s="796">
        <f t="shared" si="65"/>
        <v>0</v>
      </c>
      <c r="N444" s="797"/>
      <c r="O444" s="796">
        <f t="shared" si="65"/>
        <v>0</v>
      </c>
      <c r="P444" s="796">
        <f t="shared" si="65"/>
        <v>3840000</v>
      </c>
      <c r="Q444" s="796">
        <f t="shared" si="65"/>
        <v>226512</v>
      </c>
      <c r="R444" s="797">
        <f>Q444/P444</f>
        <v>5.8987499999999998E-2</v>
      </c>
      <c r="S444" s="796">
        <f t="shared" si="65"/>
        <v>3613488</v>
      </c>
      <c r="AB444" s="84">
        <f t="shared" si="60"/>
        <v>0</v>
      </c>
    </row>
    <row r="445" spans="1:31" ht="15.75" hidden="1" thickBot="1" x14ac:dyDescent="0.3">
      <c r="E445" s="791"/>
      <c r="F445" s="792">
        <v>10</v>
      </c>
      <c r="G445" s="793" t="s">
        <v>4948</v>
      </c>
      <c r="H445" s="794">
        <v>0</v>
      </c>
      <c r="I445" s="794">
        <v>0</v>
      </c>
      <c r="J445" s="795"/>
      <c r="K445" s="794">
        <v>0</v>
      </c>
      <c r="L445" s="796">
        <f>SUM(L441)</f>
        <v>0</v>
      </c>
      <c r="M445" s="796">
        <f t="shared" ref="M445:S445" si="66">SUM(M441)</f>
        <v>0</v>
      </c>
      <c r="N445" s="797"/>
      <c r="O445" s="796">
        <f t="shared" si="66"/>
        <v>0</v>
      </c>
      <c r="P445" s="796">
        <f t="shared" si="66"/>
        <v>0</v>
      </c>
      <c r="Q445" s="796">
        <f t="shared" si="66"/>
        <v>0</v>
      </c>
      <c r="R445" s="797" t="e">
        <f>Q445/P445</f>
        <v>#DIV/0!</v>
      </c>
      <c r="S445" s="796">
        <f t="shared" si="66"/>
        <v>0</v>
      </c>
      <c r="AB445" s="84">
        <f t="shared" si="60"/>
        <v>0</v>
      </c>
    </row>
    <row r="446" spans="1:31" ht="15.75" thickBot="1" x14ac:dyDescent="0.3">
      <c r="G446" s="798" t="s">
        <v>4952</v>
      </c>
      <c r="H446" s="799">
        <f>SUM(H444:H445)</f>
        <v>3840000</v>
      </c>
      <c r="I446" s="799">
        <f t="shared" ref="I446:S446" si="67">SUM(I444:I445)</f>
        <v>226512</v>
      </c>
      <c r="J446" s="800">
        <f>I446/H446</f>
        <v>5.8987499999999998E-2</v>
      </c>
      <c r="K446" s="799">
        <f t="shared" si="67"/>
        <v>3613488</v>
      </c>
      <c r="L446" s="801">
        <f t="shared" si="67"/>
        <v>0</v>
      </c>
      <c r="M446" s="801">
        <f t="shared" si="67"/>
        <v>0</v>
      </c>
      <c r="N446" s="802"/>
      <c r="O446" s="801">
        <f t="shared" si="67"/>
        <v>0</v>
      </c>
      <c r="P446" s="801">
        <f t="shared" si="67"/>
        <v>3840000</v>
      </c>
      <c r="Q446" s="801">
        <f t="shared" si="67"/>
        <v>226512</v>
      </c>
      <c r="R446" s="802">
        <f>Q446/P446</f>
        <v>5.8987499999999998E-2</v>
      </c>
      <c r="S446" s="801">
        <f t="shared" si="67"/>
        <v>3613488</v>
      </c>
      <c r="AB446" s="84">
        <f t="shared" si="60"/>
        <v>0</v>
      </c>
    </row>
    <row r="447" spans="1:31" ht="15" customHeight="1" x14ac:dyDescent="0.25">
      <c r="G447" s="811"/>
      <c r="H447" s="812"/>
      <c r="I447" s="812"/>
      <c r="J447" s="813"/>
      <c r="K447" s="812"/>
      <c r="L447" s="814"/>
      <c r="M447" s="814"/>
      <c r="N447" s="815"/>
      <c r="O447" s="814"/>
      <c r="P447" s="814"/>
      <c r="Q447" s="814"/>
      <c r="R447" s="815"/>
      <c r="S447" s="814"/>
      <c r="AB447" s="84">
        <f t="shared" si="60"/>
        <v>0</v>
      </c>
    </row>
    <row r="448" spans="1:31" s="972" customFormat="1" ht="15" hidden="1" customHeight="1" x14ac:dyDescent="0.25">
      <c r="A448" s="767"/>
      <c r="B448" s="768"/>
      <c r="C448" s="968" t="s">
        <v>4961</v>
      </c>
      <c r="D448" s="767"/>
      <c r="E448" s="768"/>
      <c r="F448" s="969"/>
      <c r="G448" s="869" t="s">
        <v>5313</v>
      </c>
      <c r="H448" s="774"/>
      <c r="I448" s="774"/>
      <c r="J448" s="775"/>
      <c r="K448" s="774"/>
      <c r="L448" s="776"/>
      <c r="M448" s="776"/>
      <c r="N448" s="777"/>
      <c r="O448" s="776"/>
      <c r="P448" s="776"/>
      <c r="Q448" s="776"/>
      <c r="R448" s="777"/>
      <c r="S448" s="970"/>
      <c r="T448" s="971"/>
      <c r="V448" s="973"/>
      <c r="W448" s="973"/>
      <c r="X448" s="833"/>
      <c r="Y448" s="834"/>
      <c r="Z448" s="830"/>
      <c r="AA448" s="831"/>
      <c r="AB448" s="972">
        <f t="shared" si="60"/>
        <v>0</v>
      </c>
    </row>
    <row r="449" spans="1:31" s="972" customFormat="1" ht="15" hidden="1" customHeight="1" x14ac:dyDescent="0.25">
      <c r="A449" s="767"/>
      <c r="B449" s="768"/>
      <c r="C449" s="974"/>
      <c r="D449" s="778">
        <v>630</v>
      </c>
      <c r="E449" s="779"/>
      <c r="F449" s="778"/>
      <c r="G449" s="975" t="s">
        <v>184</v>
      </c>
      <c r="H449" s="774"/>
      <c r="I449" s="774"/>
      <c r="J449" s="775"/>
      <c r="K449" s="774"/>
      <c r="L449" s="776"/>
      <c r="M449" s="776"/>
      <c r="N449" s="777"/>
      <c r="O449" s="776"/>
      <c r="P449" s="776"/>
      <c r="Q449" s="776"/>
      <c r="R449" s="777"/>
      <c r="S449" s="970"/>
      <c r="T449" s="971"/>
      <c r="V449" s="973"/>
      <c r="W449" s="973"/>
      <c r="X449" s="833"/>
      <c r="Y449" s="834"/>
      <c r="Z449" s="830"/>
      <c r="AA449" s="831"/>
      <c r="AB449" s="972">
        <f t="shared" si="60"/>
        <v>0</v>
      </c>
    </row>
    <row r="450" spans="1:31" s="972" customFormat="1" ht="15.75" hidden="1" customHeight="1" thickBot="1" x14ac:dyDescent="0.3">
      <c r="A450" s="767"/>
      <c r="B450" s="768"/>
      <c r="C450" s="968"/>
      <c r="D450" s="767"/>
      <c r="E450" s="976" t="s">
        <v>5198</v>
      </c>
      <c r="F450" s="969">
        <v>511</v>
      </c>
      <c r="G450" s="783" t="s">
        <v>4141</v>
      </c>
      <c r="H450" s="774">
        <v>0</v>
      </c>
      <c r="I450" s="774">
        <v>0</v>
      </c>
      <c r="J450" s="775"/>
      <c r="K450" s="774">
        <f>H450-I450</f>
        <v>0</v>
      </c>
      <c r="L450" s="776">
        <f>L455+L454+L453</f>
        <v>0</v>
      </c>
      <c r="M450" s="776">
        <f>SUM(M453:M455)</f>
        <v>8976237.25</v>
      </c>
      <c r="N450" s="777" t="e">
        <f>M450/L450</f>
        <v>#DIV/0!</v>
      </c>
      <c r="O450" s="776">
        <f>L450-M450</f>
        <v>-8976237.25</v>
      </c>
      <c r="P450" s="776">
        <f>L450+H450</f>
        <v>0</v>
      </c>
      <c r="Q450" s="776">
        <f>M450+I450</f>
        <v>8976237.25</v>
      </c>
      <c r="R450" s="777" t="e">
        <f>Q450/P450</f>
        <v>#DIV/0!</v>
      </c>
      <c r="S450" s="970">
        <f>P450-Q450</f>
        <v>-8976237.25</v>
      </c>
      <c r="T450" s="971"/>
      <c r="V450" s="973"/>
      <c r="W450" s="973"/>
      <c r="X450" s="833"/>
      <c r="Y450" s="834"/>
      <c r="Z450" s="830">
        <f>H450-X450+Y450</f>
        <v>0</v>
      </c>
      <c r="AA450" s="831">
        <v>0</v>
      </c>
      <c r="AB450" s="972">
        <f t="shared" si="60"/>
        <v>0</v>
      </c>
      <c r="AE450" s="972">
        <f>H450-AA450</f>
        <v>0</v>
      </c>
    </row>
    <row r="451" spans="1:31" ht="15" hidden="1" customHeight="1" x14ac:dyDescent="0.25">
      <c r="E451" s="784"/>
      <c r="F451" s="785"/>
      <c r="G451" s="786" t="s">
        <v>4950</v>
      </c>
      <c r="H451" s="787"/>
      <c r="I451" s="787"/>
      <c r="J451" s="788"/>
      <c r="K451" s="787"/>
      <c r="L451" s="789"/>
      <c r="M451" s="789"/>
      <c r="N451" s="790"/>
      <c r="O451" s="789"/>
      <c r="P451" s="789"/>
      <c r="Q451" s="789"/>
      <c r="R451" s="790"/>
      <c r="S451" s="877"/>
      <c r="AB451" s="84">
        <f t="shared" si="60"/>
        <v>0</v>
      </c>
    </row>
    <row r="452" spans="1:31" ht="15" hidden="1" customHeight="1" x14ac:dyDescent="0.25">
      <c r="E452" s="791"/>
      <c r="F452" s="792" t="s">
        <v>235</v>
      </c>
      <c r="G452" s="793" t="s">
        <v>236</v>
      </c>
      <c r="H452" s="794">
        <f>SUM(H450:H450)</f>
        <v>0</v>
      </c>
      <c r="I452" s="794">
        <f>SUM(I450:I450)</f>
        <v>0</v>
      </c>
      <c r="J452" s="795" t="e">
        <f>I452/H452</f>
        <v>#DIV/0!</v>
      </c>
      <c r="K452" s="794">
        <f>H452-I452</f>
        <v>0</v>
      </c>
      <c r="L452" s="796">
        <v>0</v>
      </c>
      <c r="M452" s="796">
        <v>0</v>
      </c>
      <c r="N452" s="797"/>
      <c r="O452" s="796">
        <v>0</v>
      </c>
      <c r="P452" s="796">
        <f t="shared" ref="P452:Q455" si="68">L452+H452</f>
        <v>0</v>
      </c>
      <c r="Q452" s="796">
        <f t="shared" si="68"/>
        <v>0</v>
      </c>
      <c r="R452" s="797" t="e">
        <f>Q452/P452</f>
        <v>#DIV/0!</v>
      </c>
      <c r="S452" s="796">
        <f>P452-Q452</f>
        <v>0</v>
      </c>
      <c r="AB452" s="84">
        <f t="shared" si="60"/>
        <v>0</v>
      </c>
    </row>
    <row r="453" spans="1:31" ht="15" hidden="1" customHeight="1" x14ac:dyDescent="0.25">
      <c r="E453" s="791"/>
      <c r="F453" s="817" t="s">
        <v>247</v>
      </c>
      <c r="G453" s="793" t="s">
        <v>4745</v>
      </c>
      <c r="H453" s="794">
        <v>0</v>
      </c>
      <c r="I453" s="794">
        <v>0</v>
      </c>
      <c r="J453" s="795"/>
      <c r="K453" s="794">
        <v>0</v>
      </c>
      <c r="L453" s="796">
        <v>0</v>
      </c>
      <c r="M453" s="796">
        <v>3110424.5</v>
      </c>
      <c r="N453" s="797" t="e">
        <f>M453/L453</f>
        <v>#DIV/0!</v>
      </c>
      <c r="O453" s="796">
        <f>L453-M453</f>
        <v>-3110424.5</v>
      </c>
      <c r="P453" s="796">
        <f t="shared" si="68"/>
        <v>0</v>
      </c>
      <c r="Q453" s="796">
        <f t="shared" si="68"/>
        <v>3110424.5</v>
      </c>
      <c r="R453" s="797" t="e">
        <f>Q453/P453</f>
        <v>#DIV/0!</v>
      </c>
      <c r="S453" s="796">
        <f>P453-Q453</f>
        <v>-3110424.5</v>
      </c>
      <c r="AB453" s="84">
        <f t="shared" si="60"/>
        <v>0</v>
      </c>
    </row>
    <row r="454" spans="1:31" ht="15" hidden="1" customHeight="1" x14ac:dyDescent="0.25">
      <c r="E454" s="791"/>
      <c r="F454" s="792">
        <v>10</v>
      </c>
      <c r="G454" s="793" t="s">
        <v>4948</v>
      </c>
      <c r="H454" s="794">
        <v>0</v>
      </c>
      <c r="I454" s="794">
        <v>0</v>
      </c>
      <c r="J454" s="795"/>
      <c r="K454" s="794">
        <v>0</v>
      </c>
      <c r="L454" s="796">
        <v>0</v>
      </c>
      <c r="M454" s="796">
        <v>5748995.5</v>
      </c>
      <c r="N454" s="797" t="e">
        <f>M454/L454</f>
        <v>#DIV/0!</v>
      </c>
      <c r="O454" s="796">
        <v>15000000</v>
      </c>
      <c r="P454" s="796">
        <f t="shared" si="68"/>
        <v>0</v>
      </c>
      <c r="Q454" s="796">
        <f t="shared" si="68"/>
        <v>5748995.5</v>
      </c>
      <c r="R454" s="797" t="e">
        <f>Q454/P454</f>
        <v>#DIV/0!</v>
      </c>
      <c r="S454" s="796">
        <v>15000000</v>
      </c>
      <c r="AB454" s="84">
        <f t="shared" ref="AB454:AB522" si="69">Z454-AA454</f>
        <v>0</v>
      </c>
    </row>
    <row r="455" spans="1:31" ht="15.75" hidden="1" customHeight="1" thickBot="1" x14ac:dyDescent="0.3">
      <c r="E455" s="791"/>
      <c r="F455" s="792">
        <v>13</v>
      </c>
      <c r="G455" s="793" t="s">
        <v>257</v>
      </c>
      <c r="H455" s="794">
        <v>0</v>
      </c>
      <c r="I455" s="794">
        <v>0</v>
      </c>
      <c r="J455" s="795"/>
      <c r="K455" s="794">
        <v>0</v>
      </c>
      <c r="L455" s="796">
        <f>H455+D455</f>
        <v>0</v>
      </c>
      <c r="M455" s="796">
        <v>116817.25</v>
      </c>
      <c r="N455" s="797" t="e">
        <f>M455/L455</f>
        <v>#DIV/0!</v>
      </c>
      <c r="O455" s="796">
        <f>L455-M455</f>
        <v>-116817.25</v>
      </c>
      <c r="P455" s="796">
        <f t="shared" si="68"/>
        <v>0</v>
      </c>
      <c r="Q455" s="796">
        <f t="shared" si="68"/>
        <v>116817.25</v>
      </c>
      <c r="R455" s="797" t="e">
        <f>Q455/P455</f>
        <v>#DIV/0!</v>
      </c>
      <c r="S455" s="796">
        <f>P455-Q455</f>
        <v>-116817.25</v>
      </c>
      <c r="AB455" s="84">
        <f t="shared" si="69"/>
        <v>0</v>
      </c>
    </row>
    <row r="456" spans="1:31" ht="15.75" hidden="1" customHeight="1" thickBot="1" x14ac:dyDescent="0.3">
      <c r="G456" s="798" t="s">
        <v>4953</v>
      </c>
      <c r="H456" s="799">
        <f>SUM(H452:H455)</f>
        <v>0</v>
      </c>
      <c r="I456" s="799">
        <f>SUM(I452:I455)</f>
        <v>0</v>
      </c>
      <c r="J456" s="800"/>
      <c r="K456" s="799">
        <f>SUM(K452:K454)</f>
        <v>0</v>
      </c>
      <c r="L456" s="801">
        <f>SUM(L452:L455)</f>
        <v>0</v>
      </c>
      <c r="M456" s="801">
        <f>SUM(M452:M455)</f>
        <v>8976237.25</v>
      </c>
      <c r="N456" s="802" t="e">
        <f>M456/L456</f>
        <v>#DIV/0!</v>
      </c>
      <c r="O456" s="801">
        <f>SUM(O452:O455)</f>
        <v>11772758.25</v>
      </c>
      <c r="P456" s="801">
        <f>SUM(P452:P455)</f>
        <v>0</v>
      </c>
      <c r="Q456" s="801">
        <f>SUM(Q452:Q455)</f>
        <v>8976237.25</v>
      </c>
      <c r="R456" s="802" t="e">
        <f>Q456/P456</f>
        <v>#DIV/0!</v>
      </c>
      <c r="S456" s="801">
        <f>SUM(S452:S455)</f>
        <v>11772758.25</v>
      </c>
      <c r="AB456" s="84">
        <f t="shared" si="69"/>
        <v>0</v>
      </c>
    </row>
    <row r="457" spans="1:31" ht="15" hidden="1" customHeight="1" collapsed="1" x14ac:dyDescent="0.25">
      <c r="E457" s="784"/>
      <c r="F457" s="785"/>
      <c r="G457" s="803" t="s">
        <v>4963</v>
      </c>
      <c r="H457" s="804"/>
      <c r="I457" s="805"/>
      <c r="J457" s="806"/>
      <c r="K457" s="805"/>
      <c r="L457" s="807"/>
      <c r="M457" s="808"/>
      <c r="N457" s="809"/>
      <c r="O457" s="808"/>
      <c r="P457" s="808"/>
      <c r="Q457" s="808"/>
      <c r="R457" s="809"/>
      <c r="S457" s="878"/>
      <c r="AB457" s="84">
        <f t="shared" si="69"/>
        <v>0</v>
      </c>
    </row>
    <row r="458" spans="1:31" ht="15" hidden="1" customHeight="1" x14ac:dyDescent="0.25">
      <c r="E458" s="791"/>
      <c r="F458" s="792" t="s">
        <v>235</v>
      </c>
      <c r="G458" s="793" t="s">
        <v>236</v>
      </c>
      <c r="H458" s="794">
        <f>SUM(H452)</f>
        <v>0</v>
      </c>
      <c r="I458" s="794">
        <f>SUM(I452)</f>
        <v>0</v>
      </c>
      <c r="J458" s="795" t="e">
        <f>I458/H458</f>
        <v>#DIV/0!</v>
      </c>
      <c r="K458" s="794">
        <f>SUM(K452)</f>
        <v>0</v>
      </c>
      <c r="L458" s="796">
        <f>SUM(L452)</f>
        <v>0</v>
      </c>
      <c r="M458" s="796">
        <f>SUM(M452)</f>
        <v>0</v>
      </c>
      <c r="N458" s="797"/>
      <c r="O458" s="796">
        <f>SUM(O452)</f>
        <v>0</v>
      </c>
      <c r="P458" s="796">
        <f>SUM(P452)</f>
        <v>0</v>
      </c>
      <c r="Q458" s="796">
        <f>SUM(Q452)</f>
        <v>0</v>
      </c>
      <c r="R458" s="797" t="e">
        <f>Q458/P458</f>
        <v>#DIV/0!</v>
      </c>
      <c r="S458" s="796">
        <f>SUM(S452)</f>
        <v>0</v>
      </c>
      <c r="AB458" s="84">
        <f t="shared" si="69"/>
        <v>0</v>
      </c>
    </row>
    <row r="459" spans="1:31" ht="15" hidden="1" customHeight="1" x14ac:dyDescent="0.25">
      <c r="E459" s="791"/>
      <c r="F459" s="792" t="s">
        <v>247</v>
      </c>
      <c r="G459" s="793" t="s">
        <v>4745</v>
      </c>
      <c r="H459" s="794">
        <f>H453</f>
        <v>0</v>
      </c>
      <c r="I459" s="794">
        <f t="shared" ref="I459:S459" si="70">I453</f>
        <v>0</v>
      </c>
      <c r="J459" s="795"/>
      <c r="K459" s="794">
        <f t="shared" si="70"/>
        <v>0</v>
      </c>
      <c r="L459" s="796">
        <f t="shared" si="70"/>
        <v>0</v>
      </c>
      <c r="M459" s="796">
        <f t="shared" si="70"/>
        <v>3110424.5</v>
      </c>
      <c r="N459" s="797" t="e">
        <f t="shared" si="70"/>
        <v>#DIV/0!</v>
      </c>
      <c r="O459" s="796">
        <f t="shared" si="70"/>
        <v>-3110424.5</v>
      </c>
      <c r="P459" s="796">
        <f t="shared" si="70"/>
        <v>0</v>
      </c>
      <c r="Q459" s="796">
        <f t="shared" si="70"/>
        <v>3110424.5</v>
      </c>
      <c r="R459" s="797" t="e">
        <f t="shared" si="70"/>
        <v>#DIV/0!</v>
      </c>
      <c r="S459" s="796">
        <f t="shared" si="70"/>
        <v>-3110424.5</v>
      </c>
      <c r="AB459" s="84">
        <f t="shared" si="69"/>
        <v>0</v>
      </c>
    </row>
    <row r="460" spans="1:31" ht="15" hidden="1" customHeight="1" x14ac:dyDescent="0.25">
      <c r="E460" s="791"/>
      <c r="F460" s="792">
        <v>10</v>
      </c>
      <c r="G460" s="793" t="s">
        <v>4948</v>
      </c>
      <c r="H460" s="794">
        <f>H454</f>
        <v>0</v>
      </c>
      <c r="I460" s="794">
        <f t="shared" ref="I460:S460" si="71">I454</f>
        <v>0</v>
      </c>
      <c r="J460" s="795"/>
      <c r="K460" s="794">
        <f t="shared" si="71"/>
        <v>0</v>
      </c>
      <c r="L460" s="796">
        <f t="shared" si="71"/>
        <v>0</v>
      </c>
      <c r="M460" s="796">
        <f t="shared" si="71"/>
        <v>5748995.5</v>
      </c>
      <c r="N460" s="797" t="e">
        <f t="shared" si="71"/>
        <v>#DIV/0!</v>
      </c>
      <c r="O460" s="796">
        <f t="shared" si="71"/>
        <v>15000000</v>
      </c>
      <c r="P460" s="796">
        <f t="shared" si="71"/>
        <v>0</v>
      </c>
      <c r="Q460" s="796">
        <f t="shared" si="71"/>
        <v>5748995.5</v>
      </c>
      <c r="R460" s="797" t="e">
        <f t="shared" si="71"/>
        <v>#DIV/0!</v>
      </c>
      <c r="S460" s="796">
        <f t="shared" si="71"/>
        <v>15000000</v>
      </c>
      <c r="AB460" s="84">
        <f t="shared" si="69"/>
        <v>0</v>
      </c>
    </row>
    <row r="461" spans="1:31" ht="15.75" hidden="1" customHeight="1" thickBot="1" x14ac:dyDescent="0.3">
      <c r="E461" s="791"/>
      <c r="F461" s="792">
        <v>13</v>
      </c>
      <c r="G461" s="793" t="s">
        <v>257</v>
      </c>
      <c r="H461" s="794">
        <f>H455</f>
        <v>0</v>
      </c>
      <c r="I461" s="794">
        <f t="shared" ref="I461:S461" si="72">I455</f>
        <v>0</v>
      </c>
      <c r="J461" s="795"/>
      <c r="K461" s="794">
        <f t="shared" si="72"/>
        <v>0</v>
      </c>
      <c r="L461" s="796">
        <f t="shared" si="72"/>
        <v>0</v>
      </c>
      <c r="M461" s="796">
        <f t="shared" si="72"/>
        <v>116817.25</v>
      </c>
      <c r="N461" s="797" t="e">
        <f t="shared" si="72"/>
        <v>#DIV/0!</v>
      </c>
      <c r="O461" s="796">
        <f t="shared" si="72"/>
        <v>-116817.25</v>
      </c>
      <c r="P461" s="796">
        <f t="shared" si="72"/>
        <v>0</v>
      </c>
      <c r="Q461" s="796">
        <f t="shared" si="72"/>
        <v>116817.25</v>
      </c>
      <c r="R461" s="797" t="e">
        <f t="shared" si="72"/>
        <v>#DIV/0!</v>
      </c>
      <c r="S461" s="796">
        <f t="shared" si="72"/>
        <v>-116817.25</v>
      </c>
      <c r="AB461" s="84">
        <f t="shared" si="69"/>
        <v>0</v>
      </c>
    </row>
    <row r="462" spans="1:31" ht="15.75" hidden="1" customHeight="1" thickBot="1" x14ac:dyDescent="0.3">
      <c r="G462" s="798" t="s">
        <v>4964</v>
      </c>
      <c r="H462" s="799">
        <f>SUM(H458:H461)</f>
        <v>0</v>
      </c>
      <c r="I462" s="799">
        <f>SUM(I458:I461)</f>
        <v>0</v>
      </c>
      <c r="J462" s="800"/>
      <c r="K462" s="799">
        <f>SUM(K458:K461)</f>
        <v>0</v>
      </c>
      <c r="L462" s="801">
        <f>SUM(L458:L461)</f>
        <v>0</v>
      </c>
      <c r="M462" s="801">
        <f>SUM(M458:M461)</f>
        <v>8976237.25</v>
      </c>
      <c r="N462" s="802" t="e">
        <f>M462/L462</f>
        <v>#DIV/0!</v>
      </c>
      <c r="O462" s="801" t="e">
        <f>N462/M462</f>
        <v>#DIV/0!</v>
      </c>
      <c r="P462" s="801">
        <f>SUM(P458:P461)</f>
        <v>0</v>
      </c>
      <c r="Q462" s="801">
        <f>SUM(Q458:Q461)</f>
        <v>8976237.25</v>
      </c>
      <c r="R462" s="802" t="e">
        <f>Q462/P462</f>
        <v>#DIV/0!</v>
      </c>
      <c r="S462" s="801">
        <f>SUM(S458:S461)</f>
        <v>11772758.25</v>
      </c>
      <c r="AB462" s="84">
        <f t="shared" si="69"/>
        <v>0</v>
      </c>
    </row>
    <row r="463" spans="1:31" ht="14.25" hidden="1" customHeight="1" x14ac:dyDescent="0.25">
      <c r="G463" s="811"/>
      <c r="H463" s="812"/>
      <c r="I463" s="812"/>
      <c r="J463" s="813"/>
      <c r="K463" s="812"/>
      <c r="L463" s="814"/>
      <c r="M463" s="814"/>
      <c r="N463" s="815"/>
      <c r="O463" s="814"/>
      <c r="P463" s="814"/>
      <c r="Q463" s="814"/>
      <c r="R463" s="815"/>
      <c r="S463" s="814"/>
      <c r="AB463" s="84">
        <f t="shared" si="69"/>
        <v>0</v>
      </c>
    </row>
    <row r="464" spans="1:31" s="204" customFormat="1" x14ac:dyDescent="0.25">
      <c r="A464" s="881"/>
      <c r="B464" s="882"/>
      <c r="C464" s="901"/>
      <c r="D464" s="881"/>
      <c r="E464" s="882"/>
      <c r="F464" s="909"/>
      <c r="G464" s="977" t="s">
        <v>4177</v>
      </c>
      <c r="H464" s="978"/>
      <c r="I464" s="978"/>
      <c r="J464" s="979"/>
      <c r="K464" s="978"/>
      <c r="L464" s="891"/>
      <c r="M464" s="891"/>
      <c r="N464" s="980"/>
      <c r="O464" s="891"/>
      <c r="P464" s="891"/>
      <c r="Q464" s="891"/>
      <c r="R464" s="980"/>
      <c r="S464" s="978"/>
      <c r="T464" s="873"/>
      <c r="V464" s="892"/>
      <c r="W464" s="892"/>
      <c r="X464" s="833"/>
      <c r="Y464" s="834"/>
      <c r="Z464" s="830"/>
      <c r="AA464" s="831"/>
      <c r="AB464" s="204">
        <f t="shared" si="69"/>
        <v>0</v>
      </c>
    </row>
    <row r="465" spans="1:31" s="204" customFormat="1" x14ac:dyDescent="0.25">
      <c r="A465" s="881"/>
      <c r="B465" s="882"/>
      <c r="C465" s="901"/>
      <c r="D465" s="881"/>
      <c r="E465" s="882"/>
      <c r="F465" s="933" t="s">
        <v>235</v>
      </c>
      <c r="G465" s="917" t="s">
        <v>236</v>
      </c>
      <c r="H465" s="887">
        <f>H444+H422+H411+H401+H375+H458+H433</f>
        <v>39023085</v>
      </c>
      <c r="I465" s="887">
        <f>I444+I422+I411+I401+I375+I458+I433</f>
        <v>18321022.460000001</v>
      </c>
      <c r="J465" s="888">
        <f>I465/H465</f>
        <v>0.46949190357451237</v>
      </c>
      <c r="K465" s="887">
        <f>H465-I465</f>
        <v>20702062.539999999</v>
      </c>
      <c r="L465" s="918">
        <v>0</v>
      </c>
      <c r="M465" s="918">
        <v>0</v>
      </c>
      <c r="N465" s="919"/>
      <c r="O465" s="918">
        <f>L465-M465</f>
        <v>0</v>
      </c>
      <c r="P465" s="918">
        <f>L465+H465</f>
        <v>39023085</v>
      </c>
      <c r="Q465" s="918">
        <f>M465+I465</f>
        <v>18321022.460000001</v>
      </c>
      <c r="R465" s="919">
        <f>Q465/P465</f>
        <v>0.46949190357451237</v>
      </c>
      <c r="S465" s="918">
        <f>P465-Q465</f>
        <v>20702062.539999999</v>
      </c>
      <c r="T465" s="873"/>
      <c r="V465" s="892"/>
      <c r="W465" s="892"/>
      <c r="X465" s="833"/>
      <c r="Y465" s="834"/>
      <c r="Z465" s="830"/>
      <c r="AA465" s="831"/>
      <c r="AB465" s="204">
        <f t="shared" si="69"/>
        <v>0</v>
      </c>
    </row>
    <row r="466" spans="1:31" s="204" customFormat="1" hidden="1" x14ac:dyDescent="0.25">
      <c r="A466" s="881"/>
      <c r="B466" s="882"/>
      <c r="C466" s="901"/>
      <c r="D466" s="881"/>
      <c r="E466" s="882"/>
      <c r="F466" s="933" t="s">
        <v>247</v>
      </c>
      <c r="G466" s="917" t="s">
        <v>4745</v>
      </c>
      <c r="H466" s="887">
        <f>H459</f>
        <v>0</v>
      </c>
      <c r="I466" s="887">
        <f>I459</f>
        <v>0</v>
      </c>
      <c r="J466" s="888"/>
      <c r="K466" s="887">
        <f t="shared" ref="K466:S466" si="73">K459</f>
        <v>0</v>
      </c>
      <c r="L466" s="918">
        <f t="shared" si="73"/>
        <v>0</v>
      </c>
      <c r="M466" s="918">
        <f>M459</f>
        <v>3110424.5</v>
      </c>
      <c r="N466" s="919" t="e">
        <f t="shared" si="73"/>
        <v>#DIV/0!</v>
      </c>
      <c r="O466" s="918">
        <f t="shared" si="73"/>
        <v>-3110424.5</v>
      </c>
      <c r="P466" s="918">
        <f t="shared" si="73"/>
        <v>0</v>
      </c>
      <c r="Q466" s="918">
        <f t="shared" si="73"/>
        <v>3110424.5</v>
      </c>
      <c r="R466" s="919" t="e">
        <f t="shared" si="73"/>
        <v>#DIV/0!</v>
      </c>
      <c r="S466" s="918">
        <f t="shared" si="73"/>
        <v>-3110424.5</v>
      </c>
      <c r="T466" s="873"/>
      <c r="V466" s="892"/>
      <c r="W466" s="892"/>
      <c r="X466" s="833"/>
      <c r="Y466" s="834"/>
      <c r="Z466" s="830"/>
      <c r="AA466" s="831"/>
      <c r="AB466" s="204">
        <f t="shared" si="69"/>
        <v>0</v>
      </c>
    </row>
    <row r="467" spans="1:31" s="204" customFormat="1" hidden="1" x14ac:dyDescent="0.25">
      <c r="A467" s="881"/>
      <c r="B467" s="882"/>
      <c r="C467" s="901"/>
      <c r="D467" s="881"/>
      <c r="E467" s="882"/>
      <c r="F467" s="933" t="s">
        <v>250</v>
      </c>
      <c r="G467" s="917" t="s">
        <v>251</v>
      </c>
      <c r="H467" s="934">
        <v>0</v>
      </c>
      <c r="I467" s="934">
        <v>0</v>
      </c>
      <c r="J467" s="935"/>
      <c r="K467" s="934">
        <v>0</v>
      </c>
      <c r="L467" s="889">
        <f>L445+L460</f>
        <v>0</v>
      </c>
      <c r="M467" s="889">
        <f>M454</f>
        <v>5748995.5</v>
      </c>
      <c r="N467" s="890" t="e">
        <f>M467/L467</f>
        <v>#DIV/0!</v>
      </c>
      <c r="O467" s="889">
        <f>L467-M467</f>
        <v>-5748995.5</v>
      </c>
      <c r="P467" s="889">
        <f>L467+H467</f>
        <v>0</v>
      </c>
      <c r="Q467" s="889">
        <f>Q445</f>
        <v>0</v>
      </c>
      <c r="R467" s="890" t="e">
        <f>Q467/P467</f>
        <v>#DIV/0!</v>
      </c>
      <c r="S467" s="918">
        <f>S445</f>
        <v>0</v>
      </c>
      <c r="T467" s="873"/>
      <c r="V467" s="892"/>
      <c r="W467" s="892"/>
      <c r="X467" s="833"/>
      <c r="Y467" s="834"/>
      <c r="Z467" s="830"/>
      <c r="AA467" s="831"/>
      <c r="AB467" s="204">
        <f t="shared" si="69"/>
        <v>0</v>
      </c>
    </row>
    <row r="468" spans="1:31" s="204" customFormat="1" hidden="1" x14ac:dyDescent="0.25">
      <c r="A468" s="881"/>
      <c r="B468" s="882"/>
      <c r="C468" s="901"/>
      <c r="D468" s="881"/>
      <c r="E468" s="882"/>
      <c r="F468" s="933" t="s">
        <v>252</v>
      </c>
      <c r="G468" s="917" t="s">
        <v>253</v>
      </c>
      <c r="H468" s="934"/>
      <c r="I468" s="934"/>
      <c r="J468" s="935"/>
      <c r="K468" s="934"/>
      <c r="L468" s="889"/>
      <c r="M468" s="889"/>
      <c r="N468" s="890"/>
      <c r="O468" s="889">
        <f>L468-M468</f>
        <v>0</v>
      </c>
      <c r="P468" s="889">
        <f>L468+H468</f>
        <v>0</v>
      </c>
      <c r="Q468" s="889"/>
      <c r="R468" s="890"/>
      <c r="S468" s="918">
        <f t="shared" ref="S468:S473" si="74">SUM(H468:L468)</f>
        <v>0</v>
      </c>
      <c r="T468" s="873"/>
      <c r="V468" s="892"/>
      <c r="W468" s="892"/>
      <c r="X468" s="833"/>
      <c r="Y468" s="834"/>
      <c r="Z468" s="830"/>
      <c r="AA468" s="831"/>
      <c r="AB468" s="204">
        <f t="shared" si="69"/>
        <v>0</v>
      </c>
    </row>
    <row r="469" spans="1:31" s="204" customFormat="1" ht="30" hidden="1" x14ac:dyDescent="0.25">
      <c r="A469" s="881"/>
      <c r="B469" s="882"/>
      <c r="C469" s="901"/>
      <c r="D469" s="881"/>
      <c r="E469" s="882"/>
      <c r="F469" s="933" t="s">
        <v>254</v>
      </c>
      <c r="G469" s="917" t="s">
        <v>255</v>
      </c>
      <c r="H469" s="934"/>
      <c r="I469" s="934"/>
      <c r="J469" s="935"/>
      <c r="K469" s="934"/>
      <c r="L469" s="889"/>
      <c r="M469" s="889"/>
      <c r="N469" s="890"/>
      <c r="O469" s="889">
        <f>L469-M469</f>
        <v>0</v>
      </c>
      <c r="P469" s="889">
        <f>L469+H469</f>
        <v>0</v>
      </c>
      <c r="Q469" s="889"/>
      <c r="R469" s="890"/>
      <c r="S469" s="918">
        <f t="shared" si="74"/>
        <v>0</v>
      </c>
      <c r="T469" s="873"/>
      <c r="V469" s="892"/>
      <c r="W469" s="892"/>
      <c r="X469" s="833"/>
      <c r="Y469" s="834"/>
      <c r="Z469" s="830"/>
      <c r="AA469" s="831"/>
      <c r="AB469" s="204">
        <f t="shared" si="69"/>
        <v>0</v>
      </c>
    </row>
    <row r="470" spans="1:31" s="204" customFormat="1" ht="15.75" thickBot="1" x14ac:dyDescent="0.3">
      <c r="A470" s="881"/>
      <c r="B470" s="882"/>
      <c r="C470" s="901"/>
      <c r="D470" s="881"/>
      <c r="E470" s="882"/>
      <c r="F470" s="933" t="s">
        <v>256</v>
      </c>
      <c r="G470" s="917" t="s">
        <v>257</v>
      </c>
      <c r="H470" s="934">
        <v>0</v>
      </c>
      <c r="I470" s="934">
        <v>0</v>
      </c>
      <c r="J470" s="935"/>
      <c r="K470" s="934">
        <v>0</v>
      </c>
      <c r="L470" s="889">
        <f>L387+L461</f>
        <v>0</v>
      </c>
      <c r="M470" s="889">
        <f>M387+M461</f>
        <v>1252294.96</v>
      </c>
      <c r="N470" s="890" t="e">
        <f>M470/L470</f>
        <v>#DIV/0!</v>
      </c>
      <c r="O470" s="889">
        <f>L470-M470</f>
        <v>-1252294.96</v>
      </c>
      <c r="P470" s="889">
        <f>L470+H470</f>
        <v>0</v>
      </c>
      <c r="Q470" s="889">
        <v>0</v>
      </c>
      <c r="R470" s="890" t="e">
        <f>Q470/P470</f>
        <v>#DIV/0!</v>
      </c>
      <c r="S470" s="918">
        <f t="shared" si="74"/>
        <v>0</v>
      </c>
      <c r="T470" s="873"/>
      <c r="V470" s="892"/>
      <c r="W470" s="892"/>
      <c r="X470" s="833"/>
      <c r="Y470" s="834"/>
      <c r="Z470" s="830"/>
      <c r="AA470" s="831"/>
      <c r="AB470" s="204">
        <f t="shared" si="69"/>
        <v>0</v>
      </c>
    </row>
    <row r="471" spans="1:31" s="204" customFormat="1" ht="30.75" hidden="1" thickBot="1" x14ac:dyDescent="0.3">
      <c r="A471" s="881"/>
      <c r="B471" s="882"/>
      <c r="C471" s="901"/>
      <c r="D471" s="881"/>
      <c r="E471" s="882"/>
      <c r="F471" s="933" t="s">
        <v>258</v>
      </c>
      <c r="G471" s="917" t="s">
        <v>259</v>
      </c>
      <c r="H471" s="934"/>
      <c r="I471" s="934"/>
      <c r="J471" s="935"/>
      <c r="K471" s="934"/>
      <c r="L471" s="889"/>
      <c r="M471" s="889"/>
      <c r="N471" s="890"/>
      <c r="O471" s="889"/>
      <c r="P471" s="889"/>
      <c r="Q471" s="889"/>
      <c r="R471" s="890"/>
      <c r="S471" s="918">
        <f t="shared" si="74"/>
        <v>0</v>
      </c>
      <c r="T471" s="873"/>
      <c r="V471" s="892"/>
      <c r="W471" s="892"/>
      <c r="X471" s="833"/>
      <c r="Y471" s="834"/>
      <c r="Z471" s="830"/>
      <c r="AA471" s="831"/>
      <c r="AB471" s="204">
        <f t="shared" si="69"/>
        <v>0</v>
      </c>
    </row>
    <row r="472" spans="1:31" s="204" customFormat="1" ht="30.75" hidden="1" thickBot="1" x14ac:dyDescent="0.3">
      <c r="A472" s="881"/>
      <c r="B472" s="882"/>
      <c r="C472" s="901"/>
      <c r="D472" s="881"/>
      <c r="E472" s="882"/>
      <c r="F472" s="933" t="s">
        <v>260</v>
      </c>
      <c r="G472" s="917" t="s">
        <v>261</v>
      </c>
      <c r="H472" s="934"/>
      <c r="I472" s="934"/>
      <c r="J472" s="935"/>
      <c r="K472" s="934"/>
      <c r="L472" s="889"/>
      <c r="M472" s="889"/>
      <c r="N472" s="890"/>
      <c r="O472" s="889"/>
      <c r="P472" s="889"/>
      <c r="Q472" s="889"/>
      <c r="R472" s="890"/>
      <c r="S472" s="918">
        <f t="shared" si="74"/>
        <v>0</v>
      </c>
      <c r="T472" s="873"/>
      <c r="V472" s="892"/>
      <c r="W472" s="892"/>
      <c r="X472" s="833"/>
      <c r="Y472" s="834"/>
      <c r="Z472" s="830"/>
      <c r="AA472" s="831"/>
      <c r="AB472" s="204">
        <f t="shared" si="69"/>
        <v>0</v>
      </c>
    </row>
    <row r="473" spans="1:31" s="204" customFormat="1" ht="15.75" hidden="1" thickBot="1" x14ac:dyDescent="0.3">
      <c r="A473" s="881"/>
      <c r="B473" s="882"/>
      <c r="C473" s="901"/>
      <c r="D473" s="881"/>
      <c r="E473" s="882"/>
      <c r="F473" s="933" t="s">
        <v>262</v>
      </c>
      <c r="G473" s="917" t="s">
        <v>263</v>
      </c>
      <c r="H473" s="887"/>
      <c r="I473" s="887"/>
      <c r="J473" s="888"/>
      <c r="K473" s="887"/>
      <c r="L473" s="918"/>
      <c r="M473" s="918"/>
      <c r="N473" s="919"/>
      <c r="O473" s="918"/>
      <c r="P473" s="918"/>
      <c r="Q473" s="918"/>
      <c r="R473" s="919"/>
      <c r="S473" s="918">
        <f t="shared" si="74"/>
        <v>0</v>
      </c>
      <c r="T473" s="873"/>
      <c r="V473" s="892"/>
      <c r="W473" s="892"/>
      <c r="X473" s="833"/>
      <c r="Y473" s="834"/>
      <c r="Z473" s="830"/>
      <c r="AA473" s="831"/>
      <c r="AB473" s="204">
        <f t="shared" si="69"/>
        <v>0</v>
      </c>
    </row>
    <row r="474" spans="1:31" s="204" customFormat="1" ht="15.75" thickBot="1" x14ac:dyDescent="0.3">
      <c r="A474" s="881"/>
      <c r="B474" s="882"/>
      <c r="C474" s="901"/>
      <c r="D474" s="881"/>
      <c r="E474" s="882"/>
      <c r="F474" s="884"/>
      <c r="G474" s="920" t="s">
        <v>4178</v>
      </c>
      <c r="H474" s="921">
        <f>SUM(H465:H473)</f>
        <v>39023085</v>
      </c>
      <c r="I474" s="921">
        <f>SUM(I465:I473)</f>
        <v>18321022.460000001</v>
      </c>
      <c r="J474" s="922">
        <f>I474/H474</f>
        <v>0.46949190357451237</v>
      </c>
      <c r="K474" s="921">
        <f>SUM(K465:K473)</f>
        <v>20702062.539999999</v>
      </c>
      <c r="L474" s="923">
        <f>SUM(L465:L473)</f>
        <v>0</v>
      </c>
      <c r="M474" s="923">
        <f>SUM(M465:M473)</f>
        <v>10111714.960000001</v>
      </c>
      <c r="N474" s="924" t="e">
        <f>M474/L474</f>
        <v>#DIV/0!</v>
      </c>
      <c r="O474" s="923">
        <f>SUM(O465:O473)</f>
        <v>-10111714.960000001</v>
      </c>
      <c r="P474" s="923">
        <f>SUM(P465:P473)</f>
        <v>39023085</v>
      </c>
      <c r="Q474" s="923">
        <f>SUM(Q465:Q473)</f>
        <v>21431446.960000001</v>
      </c>
      <c r="R474" s="924">
        <f>Q474/P474</f>
        <v>0.54919919734690381</v>
      </c>
      <c r="S474" s="923">
        <f>SUM(S465:S473)</f>
        <v>17591638.039999999</v>
      </c>
      <c r="T474" s="873"/>
      <c r="V474" s="892"/>
      <c r="W474" s="892"/>
      <c r="X474" s="833"/>
      <c r="Y474" s="834"/>
      <c r="Z474" s="830"/>
      <c r="AA474" s="831"/>
      <c r="AB474" s="204">
        <f t="shared" si="69"/>
        <v>0</v>
      </c>
    </row>
    <row r="475" spans="1:31" s="972" customFormat="1" x14ac:dyDescent="0.25">
      <c r="A475" s="767"/>
      <c r="B475" s="768"/>
      <c r="C475" s="968"/>
      <c r="D475" s="981"/>
      <c r="E475" s="982"/>
      <c r="F475" s="983"/>
      <c r="G475" s="984"/>
      <c r="H475" s="774"/>
      <c r="I475" s="774"/>
      <c r="J475" s="775"/>
      <c r="K475" s="774"/>
      <c r="L475" s="776"/>
      <c r="M475" s="776"/>
      <c r="N475" s="777"/>
      <c r="O475" s="776"/>
      <c r="P475" s="776"/>
      <c r="Q475" s="776"/>
      <c r="R475" s="777"/>
      <c r="S475" s="970"/>
      <c r="T475" s="971"/>
      <c r="V475" s="973"/>
      <c r="W475" s="973"/>
      <c r="X475" s="833"/>
      <c r="Y475" s="834"/>
      <c r="Z475" s="830"/>
      <c r="AA475" s="831"/>
      <c r="AB475" s="972">
        <f t="shared" si="69"/>
        <v>0</v>
      </c>
    </row>
    <row r="476" spans="1:31" ht="28.5" x14ac:dyDescent="0.25">
      <c r="C476" s="761" t="s">
        <v>3567</v>
      </c>
      <c r="G476" s="985" t="s">
        <v>4805</v>
      </c>
      <c r="AB476" s="84">
        <f t="shared" si="69"/>
        <v>0</v>
      </c>
    </row>
    <row r="477" spans="1:31" ht="30" customHeight="1" x14ac:dyDescent="0.25">
      <c r="C477" s="761" t="s">
        <v>4049</v>
      </c>
      <c r="D477" s="770"/>
      <c r="G477" s="869" t="s">
        <v>5106</v>
      </c>
      <c r="AB477" s="84">
        <f t="shared" si="69"/>
        <v>0</v>
      </c>
    </row>
    <row r="478" spans="1:31" s="972" customFormat="1" x14ac:dyDescent="0.25">
      <c r="A478" s="767"/>
      <c r="B478" s="768"/>
      <c r="C478" s="968"/>
      <c r="D478" s="986" t="s">
        <v>3921</v>
      </c>
      <c r="E478" s="986"/>
      <c r="F478" s="987"/>
      <c r="G478" s="988" t="s">
        <v>137</v>
      </c>
      <c r="H478" s="774"/>
      <c r="I478" s="774"/>
      <c r="J478" s="775"/>
      <c r="K478" s="774"/>
      <c r="L478" s="776"/>
      <c r="M478" s="776"/>
      <c r="N478" s="777"/>
      <c r="O478" s="776"/>
      <c r="P478" s="776"/>
      <c r="Q478" s="776"/>
      <c r="R478" s="777"/>
      <c r="S478" s="970"/>
      <c r="T478" s="971"/>
      <c r="V478" s="973"/>
      <c r="W478" s="973"/>
      <c r="X478" s="833"/>
      <c r="Y478" s="834"/>
      <c r="Z478" s="830"/>
      <c r="AA478" s="831"/>
      <c r="AB478" s="972">
        <f t="shared" si="69"/>
        <v>0</v>
      </c>
    </row>
    <row r="479" spans="1:31" s="972" customFormat="1" x14ac:dyDescent="0.25">
      <c r="A479" s="767"/>
      <c r="B479" s="768"/>
      <c r="C479" s="968"/>
      <c r="D479" s="986"/>
      <c r="E479" s="976" t="s">
        <v>5193</v>
      </c>
      <c r="F479" s="989">
        <v>416</v>
      </c>
      <c r="G479" s="783" t="s">
        <v>4125</v>
      </c>
      <c r="H479" s="774">
        <v>500000</v>
      </c>
      <c r="I479" s="774">
        <f>335991.23+23555.32</f>
        <v>359546.55</v>
      </c>
      <c r="J479" s="775">
        <f>I479/H479</f>
        <v>0.71909309999999993</v>
      </c>
      <c r="K479" s="774">
        <f>H479-I479</f>
        <v>140453.45000000001</v>
      </c>
      <c r="L479" s="776">
        <v>0</v>
      </c>
      <c r="M479" s="776">
        <v>0</v>
      </c>
      <c r="N479" s="777"/>
      <c r="O479" s="776">
        <f>L479-M479</f>
        <v>0</v>
      </c>
      <c r="P479" s="776">
        <f>L479+H479</f>
        <v>500000</v>
      </c>
      <c r="Q479" s="776">
        <f>M479+I479</f>
        <v>359546.55</v>
      </c>
      <c r="R479" s="777"/>
      <c r="S479" s="970">
        <f>P479-Q479</f>
        <v>140453.45000000001</v>
      </c>
      <c r="T479" s="971"/>
      <c r="V479" s="973"/>
      <c r="W479" s="973"/>
      <c r="X479" s="833">
        <v>10000</v>
      </c>
      <c r="Y479" s="834"/>
      <c r="Z479" s="830">
        <f>H479-X479+Y479</f>
        <v>490000</v>
      </c>
      <c r="AA479" s="831">
        <v>465000</v>
      </c>
      <c r="AB479" s="972">
        <f t="shared" si="69"/>
        <v>25000</v>
      </c>
      <c r="AE479" s="972">
        <f>H479-AA479</f>
        <v>35000</v>
      </c>
    </row>
    <row r="480" spans="1:31" s="972" customFormat="1" ht="15.75" thickBot="1" x14ac:dyDescent="0.3">
      <c r="A480" s="989"/>
      <c r="B480" s="976"/>
      <c r="C480" s="990"/>
      <c r="D480" s="976"/>
      <c r="E480" s="976" t="s">
        <v>5459</v>
      </c>
      <c r="F480" s="989">
        <v>423</v>
      </c>
      <c r="G480" s="991" t="s">
        <v>3783</v>
      </c>
      <c r="H480" s="774">
        <v>3600000</v>
      </c>
      <c r="I480" s="774">
        <f>3431225.57+23001.52</f>
        <v>3454227.09</v>
      </c>
      <c r="J480" s="775">
        <f>I480/H480</f>
        <v>0.95950752499999992</v>
      </c>
      <c r="K480" s="774">
        <f>H480-I480</f>
        <v>145772.91000000015</v>
      </c>
      <c r="L480" s="776">
        <v>0</v>
      </c>
      <c r="M480" s="776">
        <v>0</v>
      </c>
      <c r="N480" s="777"/>
      <c r="O480" s="776">
        <f>L480-M480</f>
        <v>0</v>
      </c>
      <c r="P480" s="776">
        <f>L480+H480</f>
        <v>3600000</v>
      </c>
      <c r="Q480" s="776">
        <f>M480+I480</f>
        <v>3454227.09</v>
      </c>
      <c r="R480" s="777">
        <f>Q480/P480</f>
        <v>0.95950752499999992</v>
      </c>
      <c r="S480" s="970">
        <f>P480-Q480</f>
        <v>145772.91000000015</v>
      </c>
      <c r="T480" s="971"/>
      <c r="V480" s="973"/>
      <c r="W480" s="973"/>
      <c r="X480" s="833"/>
      <c r="Y480" s="834">
        <v>10000</v>
      </c>
      <c r="Z480" s="830">
        <f>H480-X480+Y480</f>
        <v>3610000</v>
      </c>
      <c r="AA480" s="831">
        <v>3535000</v>
      </c>
      <c r="AB480" s="972">
        <f t="shared" si="69"/>
        <v>75000</v>
      </c>
      <c r="AE480" s="972">
        <f>H480-AA480</f>
        <v>65000</v>
      </c>
    </row>
    <row r="481" spans="1:31" x14ac:dyDescent="0.25">
      <c r="E481" s="784"/>
      <c r="F481" s="785"/>
      <c r="G481" s="786" t="s">
        <v>5152</v>
      </c>
      <c r="H481" s="787"/>
      <c r="I481" s="787"/>
      <c r="J481" s="788"/>
      <c r="K481" s="787"/>
      <c r="L481" s="789"/>
      <c r="M481" s="789"/>
      <c r="N481" s="790"/>
      <c r="O481" s="789"/>
      <c r="P481" s="789"/>
      <c r="Q481" s="789"/>
      <c r="R481" s="790"/>
      <c r="S481" s="877"/>
      <c r="AB481" s="84">
        <f t="shared" si="69"/>
        <v>0</v>
      </c>
    </row>
    <row r="482" spans="1:31" ht="15.75" thickBot="1" x14ac:dyDescent="0.3">
      <c r="E482" s="791"/>
      <c r="F482" s="792" t="s">
        <v>235</v>
      </c>
      <c r="G482" s="793" t="s">
        <v>236</v>
      </c>
      <c r="H482" s="794">
        <f>SUM(H479:H480)</f>
        <v>4100000</v>
      </c>
      <c r="I482" s="794">
        <f>SUM(I479:I480)</f>
        <v>3813773.6399999997</v>
      </c>
      <c r="J482" s="795">
        <f>I482/H482</f>
        <v>0.9301886926829267</v>
      </c>
      <c r="K482" s="794">
        <f>SUM(K479:K480)</f>
        <v>286226.36000000016</v>
      </c>
      <c r="L482" s="796">
        <f>SUM(L479:L480)</f>
        <v>0</v>
      </c>
      <c r="M482" s="796">
        <f>SUM(M479:M480)</f>
        <v>0</v>
      </c>
      <c r="N482" s="797"/>
      <c r="O482" s="796">
        <f>SUM(O479:O480)</f>
        <v>0</v>
      </c>
      <c r="P482" s="796">
        <f>SUM(P479:P480)</f>
        <v>4100000</v>
      </c>
      <c r="Q482" s="796">
        <f>SUM(Q479:Q480)</f>
        <v>3813773.6399999997</v>
      </c>
      <c r="R482" s="797">
        <f>Q482/P482</f>
        <v>0.9301886926829267</v>
      </c>
      <c r="S482" s="796">
        <f>SUM(S479:S480)</f>
        <v>286226.36000000016</v>
      </c>
      <c r="AB482" s="84">
        <f t="shared" si="69"/>
        <v>0</v>
      </c>
    </row>
    <row r="483" spans="1:31" ht="15.75" thickBot="1" x14ac:dyDescent="0.3">
      <c r="G483" s="798" t="s">
        <v>5153</v>
      </c>
      <c r="H483" s="799">
        <f>SUM(H482)</f>
        <v>4100000</v>
      </c>
      <c r="I483" s="799">
        <f>SUM(I482)</f>
        <v>3813773.6399999997</v>
      </c>
      <c r="J483" s="800">
        <f>I483/H483</f>
        <v>0.9301886926829267</v>
      </c>
      <c r="K483" s="799">
        <f>H483-I483</f>
        <v>286226.36000000034</v>
      </c>
      <c r="L483" s="801">
        <v>0</v>
      </c>
      <c r="M483" s="801">
        <v>0</v>
      </c>
      <c r="N483" s="802"/>
      <c r="O483" s="801">
        <f>L483-M483</f>
        <v>0</v>
      </c>
      <c r="P483" s="801">
        <f>L483+H483</f>
        <v>4100000</v>
      </c>
      <c r="Q483" s="801">
        <f>M483+I483</f>
        <v>3813773.6399999997</v>
      </c>
      <c r="R483" s="802">
        <f>Q483/P483</f>
        <v>0.9301886926829267</v>
      </c>
      <c r="S483" s="801">
        <f>P483-Q483</f>
        <v>286226.36000000034</v>
      </c>
      <c r="AB483" s="84">
        <f t="shared" si="69"/>
        <v>0</v>
      </c>
    </row>
    <row r="484" spans="1:31" ht="28.5" collapsed="1" x14ac:dyDescent="0.25">
      <c r="E484" s="784"/>
      <c r="F484" s="785"/>
      <c r="G484" s="803" t="s">
        <v>5107</v>
      </c>
      <c r="H484" s="804"/>
      <c r="I484" s="805"/>
      <c r="J484" s="806"/>
      <c r="K484" s="805"/>
      <c r="L484" s="807"/>
      <c r="M484" s="808"/>
      <c r="N484" s="809"/>
      <c r="O484" s="808"/>
      <c r="P484" s="808"/>
      <c r="Q484" s="808"/>
      <c r="R484" s="809"/>
      <c r="S484" s="878"/>
      <c r="AB484" s="84">
        <f t="shared" si="69"/>
        <v>0</v>
      </c>
    </row>
    <row r="485" spans="1:31" ht="15.75" thickBot="1" x14ac:dyDescent="0.3">
      <c r="E485" s="791"/>
      <c r="F485" s="792" t="s">
        <v>235</v>
      </c>
      <c r="G485" s="793" t="s">
        <v>236</v>
      </c>
      <c r="H485" s="794">
        <f>H482</f>
        <v>4100000</v>
      </c>
      <c r="I485" s="794">
        <f t="shared" ref="I485:S485" si="75">I482</f>
        <v>3813773.6399999997</v>
      </c>
      <c r="J485" s="795">
        <f t="shared" si="75"/>
        <v>0.9301886926829267</v>
      </c>
      <c r="K485" s="794">
        <f t="shared" si="75"/>
        <v>286226.36000000016</v>
      </c>
      <c r="L485" s="796">
        <f t="shared" si="75"/>
        <v>0</v>
      </c>
      <c r="M485" s="796">
        <f t="shared" si="75"/>
        <v>0</v>
      </c>
      <c r="N485" s="797">
        <f t="shared" si="75"/>
        <v>0</v>
      </c>
      <c r="O485" s="796">
        <f t="shared" si="75"/>
        <v>0</v>
      </c>
      <c r="P485" s="796">
        <f t="shared" si="75"/>
        <v>4100000</v>
      </c>
      <c r="Q485" s="796">
        <f t="shared" si="75"/>
        <v>3813773.6399999997</v>
      </c>
      <c r="R485" s="797">
        <f t="shared" si="75"/>
        <v>0.9301886926829267</v>
      </c>
      <c r="S485" s="796">
        <f t="shared" si="75"/>
        <v>286226.36000000016</v>
      </c>
      <c r="AB485" s="84">
        <f t="shared" si="69"/>
        <v>0</v>
      </c>
    </row>
    <row r="486" spans="1:31" ht="15.75" collapsed="1" thickBot="1" x14ac:dyDescent="0.3">
      <c r="G486" s="798" t="s">
        <v>5108</v>
      </c>
      <c r="H486" s="799">
        <f>SUM(H485)</f>
        <v>4100000</v>
      </c>
      <c r="I486" s="799">
        <f>SUM(I485)</f>
        <v>3813773.6399999997</v>
      </c>
      <c r="J486" s="800">
        <f>I486/H486</f>
        <v>0.9301886926829267</v>
      </c>
      <c r="K486" s="799">
        <f>H486-I486</f>
        <v>286226.36000000034</v>
      </c>
      <c r="L486" s="801">
        <v>0</v>
      </c>
      <c r="M486" s="801">
        <v>0</v>
      </c>
      <c r="N486" s="802"/>
      <c r="O486" s="801">
        <f>L486-M486</f>
        <v>0</v>
      </c>
      <c r="P486" s="801">
        <f>L486+H486</f>
        <v>4100000</v>
      </c>
      <c r="Q486" s="801">
        <f>M486+I486</f>
        <v>3813773.6399999997</v>
      </c>
      <c r="R486" s="802">
        <f>Q486/P486</f>
        <v>0.9301886926829267</v>
      </c>
      <c r="S486" s="801">
        <f>P486-Q486</f>
        <v>286226.36000000034</v>
      </c>
      <c r="AB486" s="84">
        <f t="shared" si="69"/>
        <v>0</v>
      </c>
    </row>
    <row r="487" spans="1:31" x14ac:dyDescent="0.25">
      <c r="AB487" s="84">
        <f t="shared" si="69"/>
        <v>0</v>
      </c>
    </row>
    <row r="488" spans="1:31" ht="23.25" customHeight="1" x14ac:dyDescent="0.25">
      <c r="C488" s="761" t="s">
        <v>4293</v>
      </c>
      <c r="D488" s="770"/>
      <c r="G488" s="869" t="s">
        <v>5147</v>
      </c>
      <c r="AB488" s="84">
        <f t="shared" si="69"/>
        <v>0</v>
      </c>
    </row>
    <row r="489" spans="1:31" s="972" customFormat="1" x14ac:dyDescent="0.25">
      <c r="A489" s="767"/>
      <c r="B489" s="768"/>
      <c r="C489" s="968"/>
      <c r="D489" s="986" t="s">
        <v>3920</v>
      </c>
      <c r="E489" s="986"/>
      <c r="F489" s="987"/>
      <c r="G489" s="988" t="s">
        <v>136</v>
      </c>
      <c r="H489" s="774"/>
      <c r="I489" s="774"/>
      <c r="J489" s="775"/>
      <c r="K489" s="774"/>
      <c r="L489" s="776"/>
      <c r="M489" s="776"/>
      <c r="N489" s="777"/>
      <c r="O489" s="776"/>
      <c r="P489" s="776"/>
      <c r="Q489" s="776"/>
      <c r="R489" s="777"/>
      <c r="S489" s="970"/>
      <c r="T489" s="971"/>
      <c r="V489" s="973"/>
      <c r="W489" s="973"/>
      <c r="X489" s="833"/>
      <c r="Y489" s="834"/>
      <c r="Z489" s="830"/>
      <c r="AA489" s="831"/>
      <c r="AB489" s="972">
        <f t="shared" si="69"/>
        <v>0</v>
      </c>
    </row>
    <row r="490" spans="1:31" s="972" customFormat="1" ht="15.75" thickBot="1" x14ac:dyDescent="0.3">
      <c r="A490" s="989"/>
      <c r="B490" s="976"/>
      <c r="C490" s="990"/>
      <c r="D490" s="976"/>
      <c r="E490" s="976" t="s">
        <v>5194</v>
      </c>
      <c r="F490" s="989">
        <v>511</v>
      </c>
      <c r="G490" s="991" t="s">
        <v>4141</v>
      </c>
      <c r="H490" s="774">
        <f>SUM(H492:H494)</f>
        <v>4397737.8100000005</v>
      </c>
      <c r="I490" s="774">
        <v>0</v>
      </c>
      <c r="J490" s="775"/>
      <c r="K490" s="774">
        <f>H490-I490</f>
        <v>4397737.8100000005</v>
      </c>
      <c r="L490" s="776">
        <f>SUM(L492:L494)</f>
        <v>19254118.390000001</v>
      </c>
      <c r="M490" s="776">
        <v>0</v>
      </c>
      <c r="N490" s="777"/>
      <c r="O490" s="776">
        <f>L490-M490</f>
        <v>19254118.390000001</v>
      </c>
      <c r="P490" s="776">
        <f>L490+H490</f>
        <v>23651856.200000003</v>
      </c>
      <c r="Q490" s="776">
        <f>M490+I490</f>
        <v>0</v>
      </c>
      <c r="R490" s="777"/>
      <c r="S490" s="970">
        <f>P490-Q490</f>
        <v>23651856.200000003</v>
      </c>
      <c r="T490" s="971"/>
      <c r="V490" s="973"/>
      <c r="W490" s="973"/>
      <c r="X490" s="833"/>
      <c r="Y490" s="834"/>
      <c r="Z490" s="830">
        <f>H490-X490+Y490</f>
        <v>4397737.8100000005</v>
      </c>
      <c r="AA490" s="831">
        <v>0</v>
      </c>
      <c r="AB490" s="972">
        <f t="shared" si="69"/>
        <v>4397737.8100000005</v>
      </c>
      <c r="AE490" s="972">
        <f>H490-AA490</f>
        <v>4397737.8100000005</v>
      </c>
    </row>
    <row r="491" spans="1:31" x14ac:dyDescent="0.25">
      <c r="E491" s="784"/>
      <c r="F491" s="785"/>
      <c r="G491" s="786" t="s">
        <v>5154</v>
      </c>
      <c r="H491" s="787"/>
      <c r="I491" s="787"/>
      <c r="J491" s="788"/>
      <c r="K491" s="787"/>
      <c r="L491" s="789"/>
      <c r="M491" s="789"/>
      <c r="N491" s="790"/>
      <c r="O491" s="789"/>
      <c r="P491" s="789"/>
      <c r="Q491" s="789"/>
      <c r="R491" s="790"/>
      <c r="S491" s="877"/>
      <c r="AB491" s="84">
        <f t="shared" si="69"/>
        <v>0</v>
      </c>
    </row>
    <row r="492" spans="1:31" x14ac:dyDescent="0.25">
      <c r="E492" s="791"/>
      <c r="F492" s="792" t="s">
        <v>235</v>
      </c>
      <c r="G492" s="793" t="s">
        <v>236</v>
      </c>
      <c r="H492" s="794">
        <v>4397737.8100000005</v>
      </c>
      <c r="I492" s="794">
        <f>SUM(I490:I490)</f>
        <v>0</v>
      </c>
      <c r="J492" s="795"/>
      <c r="K492" s="794">
        <f>H492-I492</f>
        <v>4397737.8100000005</v>
      </c>
      <c r="L492" s="796">
        <v>0</v>
      </c>
      <c r="M492" s="796">
        <v>0</v>
      </c>
      <c r="N492" s="797"/>
      <c r="O492" s="796">
        <f>L492-M492</f>
        <v>0</v>
      </c>
      <c r="P492" s="796">
        <f t="shared" ref="P492:Q495" si="76">L492+H492</f>
        <v>4397737.8100000005</v>
      </c>
      <c r="Q492" s="796">
        <f t="shared" si="76"/>
        <v>0</v>
      </c>
      <c r="R492" s="797"/>
      <c r="S492" s="796">
        <f>P492-Q492</f>
        <v>4397737.8100000005</v>
      </c>
      <c r="AB492" s="84">
        <f t="shared" si="69"/>
        <v>0</v>
      </c>
    </row>
    <row r="493" spans="1:31" x14ac:dyDescent="0.25">
      <c r="E493" s="791"/>
      <c r="F493" s="817" t="s">
        <v>247</v>
      </c>
      <c r="G493" s="793" t="s">
        <v>4745</v>
      </c>
      <c r="H493" s="794">
        <v>0</v>
      </c>
      <c r="I493" s="794">
        <v>0</v>
      </c>
      <c r="J493" s="795"/>
      <c r="K493" s="794">
        <v>0</v>
      </c>
      <c r="L493" s="796">
        <v>12254118.390000001</v>
      </c>
      <c r="M493" s="796">
        <f>M490</f>
        <v>0</v>
      </c>
      <c r="N493" s="797"/>
      <c r="O493" s="796">
        <f>L493-M493</f>
        <v>12254118.390000001</v>
      </c>
      <c r="P493" s="796">
        <f t="shared" si="76"/>
        <v>12254118.390000001</v>
      </c>
      <c r="Q493" s="796">
        <f t="shared" si="76"/>
        <v>0</v>
      </c>
      <c r="R493" s="797"/>
      <c r="S493" s="796">
        <f>P493-Q493</f>
        <v>12254118.390000001</v>
      </c>
      <c r="AB493" s="84">
        <f t="shared" si="69"/>
        <v>0</v>
      </c>
    </row>
    <row r="494" spans="1:31" ht="15.75" thickBot="1" x14ac:dyDescent="0.3">
      <c r="E494" s="791"/>
      <c r="F494" s="817">
        <v>10</v>
      </c>
      <c r="G494" s="793" t="s">
        <v>13</v>
      </c>
      <c r="H494" s="794">
        <v>0</v>
      </c>
      <c r="I494" s="794">
        <v>0</v>
      </c>
      <c r="J494" s="795"/>
      <c r="K494" s="794">
        <v>0</v>
      </c>
      <c r="L494" s="796">
        <v>7000000</v>
      </c>
      <c r="M494" s="796">
        <f>M491</f>
        <v>0</v>
      </c>
      <c r="N494" s="797"/>
      <c r="O494" s="796">
        <f>L494-M494</f>
        <v>7000000</v>
      </c>
      <c r="P494" s="796">
        <f>L494+H494</f>
        <v>7000000</v>
      </c>
      <c r="Q494" s="796"/>
      <c r="R494" s="797"/>
      <c r="S494" s="796"/>
    </row>
    <row r="495" spans="1:31" ht="15.75" thickBot="1" x14ac:dyDescent="0.3">
      <c r="G495" s="798" t="s">
        <v>5155</v>
      </c>
      <c r="H495" s="799">
        <f>SUM(H492:H494)</f>
        <v>4397737.8100000005</v>
      </c>
      <c r="I495" s="799">
        <f>SUM(I492:I493)</f>
        <v>0</v>
      </c>
      <c r="J495" s="800"/>
      <c r="K495" s="799">
        <f>H495-I495</f>
        <v>4397737.8100000005</v>
      </c>
      <c r="L495" s="801">
        <f>SUM(L492:L494)</f>
        <v>19254118.390000001</v>
      </c>
      <c r="M495" s="801">
        <f>SUM(M492:M493)</f>
        <v>0</v>
      </c>
      <c r="N495" s="802"/>
      <c r="O495" s="801">
        <f>L495-M495</f>
        <v>19254118.390000001</v>
      </c>
      <c r="P495" s="801">
        <f t="shared" si="76"/>
        <v>23651856.200000003</v>
      </c>
      <c r="Q495" s="801">
        <f t="shared" si="76"/>
        <v>0</v>
      </c>
      <c r="R495" s="802"/>
      <c r="S495" s="801">
        <f>P495-Q495</f>
        <v>23651856.200000003</v>
      </c>
      <c r="AB495" s="84">
        <f t="shared" si="69"/>
        <v>0</v>
      </c>
    </row>
    <row r="496" spans="1:31" collapsed="1" x14ac:dyDescent="0.25">
      <c r="E496" s="784"/>
      <c r="F496" s="785"/>
      <c r="G496" s="803" t="s">
        <v>5149</v>
      </c>
      <c r="H496" s="804"/>
      <c r="I496" s="805"/>
      <c r="J496" s="806"/>
      <c r="K496" s="805"/>
      <c r="L496" s="807"/>
      <c r="M496" s="808"/>
      <c r="N496" s="809"/>
      <c r="O496" s="808"/>
      <c r="P496" s="808"/>
      <c r="Q496" s="808"/>
      <c r="R496" s="809"/>
      <c r="S496" s="878"/>
      <c r="AB496" s="84">
        <f t="shared" si="69"/>
        <v>0</v>
      </c>
    </row>
    <row r="497" spans="1:31" x14ac:dyDescent="0.25">
      <c r="E497" s="791"/>
      <c r="F497" s="792" t="s">
        <v>235</v>
      </c>
      <c r="G497" s="793" t="s">
        <v>236</v>
      </c>
      <c r="H497" s="794">
        <f>H492</f>
        <v>4397737.8100000005</v>
      </c>
      <c r="I497" s="794">
        <f t="shared" ref="I497:S497" si="77">I492</f>
        <v>0</v>
      </c>
      <c r="J497" s="795"/>
      <c r="K497" s="794">
        <f t="shared" si="77"/>
        <v>4397737.8100000005</v>
      </c>
      <c r="L497" s="796">
        <f t="shared" si="77"/>
        <v>0</v>
      </c>
      <c r="M497" s="796">
        <f t="shared" si="77"/>
        <v>0</v>
      </c>
      <c r="N497" s="797"/>
      <c r="O497" s="796">
        <f t="shared" si="77"/>
        <v>0</v>
      </c>
      <c r="P497" s="796">
        <f t="shared" si="77"/>
        <v>4397737.8100000005</v>
      </c>
      <c r="Q497" s="796">
        <f t="shared" si="77"/>
        <v>0</v>
      </c>
      <c r="R497" s="797"/>
      <c r="S497" s="796">
        <f t="shared" si="77"/>
        <v>4397737.8100000005</v>
      </c>
      <c r="AB497" s="84">
        <f t="shared" si="69"/>
        <v>0</v>
      </c>
    </row>
    <row r="498" spans="1:31" x14ac:dyDescent="0.25">
      <c r="E498" s="791"/>
      <c r="F498" s="817" t="s">
        <v>247</v>
      </c>
      <c r="G498" s="793" t="s">
        <v>4745</v>
      </c>
      <c r="H498" s="794">
        <f>H493</f>
        <v>0</v>
      </c>
      <c r="I498" s="794">
        <f t="shared" ref="I498:S499" si="78">I493</f>
        <v>0</v>
      </c>
      <c r="J498" s="795"/>
      <c r="K498" s="794">
        <f t="shared" si="78"/>
        <v>0</v>
      </c>
      <c r="L498" s="796">
        <f t="shared" si="78"/>
        <v>12254118.390000001</v>
      </c>
      <c r="M498" s="796">
        <f t="shared" si="78"/>
        <v>0</v>
      </c>
      <c r="N498" s="797"/>
      <c r="O498" s="796">
        <f>O493</f>
        <v>12254118.390000001</v>
      </c>
      <c r="P498" s="796">
        <f t="shared" si="78"/>
        <v>12254118.390000001</v>
      </c>
      <c r="Q498" s="796">
        <f t="shared" si="78"/>
        <v>0</v>
      </c>
      <c r="R498" s="797"/>
      <c r="S498" s="796">
        <f t="shared" si="78"/>
        <v>12254118.390000001</v>
      </c>
      <c r="AB498" s="84">
        <f t="shared" si="69"/>
        <v>0</v>
      </c>
    </row>
    <row r="499" spans="1:31" ht="15.75" thickBot="1" x14ac:dyDescent="0.3">
      <c r="E499" s="791"/>
      <c r="F499" s="817">
        <v>10</v>
      </c>
      <c r="G499" s="793" t="s">
        <v>13</v>
      </c>
      <c r="H499" s="794">
        <f>H494</f>
        <v>0</v>
      </c>
      <c r="I499" s="794">
        <f t="shared" si="78"/>
        <v>0</v>
      </c>
      <c r="J499" s="795"/>
      <c r="K499" s="794">
        <f t="shared" si="78"/>
        <v>0</v>
      </c>
      <c r="L499" s="796">
        <f t="shared" si="78"/>
        <v>7000000</v>
      </c>
      <c r="M499" s="796">
        <f t="shared" si="78"/>
        <v>0</v>
      </c>
      <c r="N499" s="797"/>
      <c r="O499" s="796">
        <f>O494</f>
        <v>7000000</v>
      </c>
      <c r="P499" s="796">
        <f t="shared" si="78"/>
        <v>7000000</v>
      </c>
      <c r="Q499" s="796"/>
      <c r="R499" s="797"/>
      <c r="S499" s="796"/>
    </row>
    <row r="500" spans="1:31" ht="15.75" collapsed="1" thickBot="1" x14ac:dyDescent="0.3">
      <c r="G500" s="798" t="s">
        <v>5148</v>
      </c>
      <c r="H500" s="799">
        <f>H495</f>
        <v>4397737.8100000005</v>
      </c>
      <c r="I500" s="799">
        <f>SUM(I497:I498)</f>
        <v>0</v>
      </c>
      <c r="J500" s="800"/>
      <c r="K500" s="799">
        <f>SUM(K497:K498)</f>
        <v>4397737.8100000005</v>
      </c>
      <c r="L500" s="801">
        <f>L495</f>
        <v>19254118.390000001</v>
      </c>
      <c r="M500" s="801">
        <f>SUM(M497:M498)</f>
        <v>0</v>
      </c>
      <c r="N500" s="802"/>
      <c r="O500" s="801">
        <f>SUM(O497:O498)</f>
        <v>12254118.390000001</v>
      </c>
      <c r="P500" s="801">
        <f>L500+H500</f>
        <v>23651856.200000003</v>
      </c>
      <c r="Q500" s="801">
        <f>M500+I500</f>
        <v>0</v>
      </c>
      <c r="R500" s="802"/>
      <c r="S500" s="801">
        <f>P500-Q500</f>
        <v>23651856.200000003</v>
      </c>
      <c r="AB500" s="84">
        <f t="shared" si="69"/>
        <v>0</v>
      </c>
    </row>
    <row r="501" spans="1:31" x14ac:dyDescent="0.25">
      <c r="G501" s="811"/>
      <c r="H501" s="812"/>
      <c r="I501" s="812"/>
      <c r="J501" s="813"/>
      <c r="K501" s="812"/>
      <c r="L501" s="814"/>
      <c r="M501" s="814"/>
      <c r="N501" s="815"/>
      <c r="O501" s="814"/>
      <c r="P501" s="814"/>
      <c r="Q501" s="814"/>
      <c r="R501" s="815"/>
      <c r="S501" s="814"/>
      <c r="AB501" s="84">
        <f t="shared" si="69"/>
        <v>0</v>
      </c>
    </row>
    <row r="502" spans="1:31" ht="30" customHeight="1" x14ac:dyDescent="0.25">
      <c r="C502" s="761" t="s">
        <v>4294</v>
      </c>
      <c r="D502" s="770"/>
      <c r="G502" s="869" t="s">
        <v>5188</v>
      </c>
      <c r="AB502" s="84">
        <f t="shared" si="69"/>
        <v>0</v>
      </c>
    </row>
    <row r="503" spans="1:31" s="972" customFormat="1" x14ac:dyDescent="0.25">
      <c r="A503" s="767"/>
      <c r="B503" s="768"/>
      <c r="C503" s="968"/>
      <c r="D503" s="986" t="s">
        <v>3954</v>
      </c>
      <c r="E503" s="986"/>
      <c r="F503" s="987"/>
      <c r="G503" s="988" t="s">
        <v>172</v>
      </c>
      <c r="H503" s="774"/>
      <c r="I503" s="774"/>
      <c r="J503" s="775"/>
      <c r="K503" s="774"/>
      <c r="L503" s="776"/>
      <c r="M503" s="776"/>
      <c r="N503" s="777"/>
      <c r="O503" s="776"/>
      <c r="P503" s="776"/>
      <c r="Q503" s="776"/>
      <c r="R503" s="777"/>
      <c r="S503" s="970"/>
      <c r="T503" s="971"/>
      <c r="V503" s="973"/>
      <c r="W503" s="973"/>
      <c r="X503" s="833"/>
      <c r="Y503" s="834"/>
      <c r="Z503" s="830"/>
      <c r="AA503" s="831"/>
      <c r="AB503" s="972">
        <f t="shared" si="69"/>
        <v>0</v>
      </c>
    </row>
    <row r="504" spans="1:31" s="972" customFormat="1" ht="15.75" thickBot="1" x14ac:dyDescent="0.3">
      <c r="A504" s="989"/>
      <c r="B504" s="976"/>
      <c r="C504" s="990"/>
      <c r="D504" s="976"/>
      <c r="E504" s="976" t="s">
        <v>5195</v>
      </c>
      <c r="F504" s="989">
        <v>543</v>
      </c>
      <c r="G504" s="991" t="s">
        <v>4141</v>
      </c>
      <c r="H504" s="774">
        <v>0</v>
      </c>
      <c r="I504" s="774">
        <v>0</v>
      </c>
      <c r="J504" s="775"/>
      <c r="K504" s="774">
        <f>H504-I504</f>
        <v>0</v>
      </c>
      <c r="L504" s="776">
        <v>25000000</v>
      </c>
      <c r="M504" s="776">
        <v>0</v>
      </c>
      <c r="N504" s="777"/>
      <c r="O504" s="776">
        <f>L504-M504</f>
        <v>25000000</v>
      </c>
      <c r="P504" s="776">
        <f>L504+H504</f>
        <v>25000000</v>
      </c>
      <c r="Q504" s="776">
        <f>M504+I504</f>
        <v>0</v>
      </c>
      <c r="R504" s="777"/>
      <c r="S504" s="970">
        <f>P504-Q504</f>
        <v>25000000</v>
      </c>
      <c r="T504" s="971"/>
      <c r="V504" s="973"/>
      <c r="W504" s="973"/>
      <c r="X504" s="833"/>
      <c r="Y504" s="834"/>
      <c r="Z504" s="830">
        <f>H504-X504+Y504</f>
        <v>0</v>
      </c>
      <c r="AA504" s="831">
        <v>0</v>
      </c>
      <c r="AB504" s="972">
        <f t="shared" si="69"/>
        <v>0</v>
      </c>
      <c r="AE504" s="972">
        <f>H504-AA504</f>
        <v>0</v>
      </c>
    </row>
    <row r="505" spans="1:31" x14ac:dyDescent="0.25">
      <c r="E505" s="784"/>
      <c r="F505" s="785"/>
      <c r="G505" s="786" t="s">
        <v>5189</v>
      </c>
      <c r="H505" s="787"/>
      <c r="I505" s="787"/>
      <c r="J505" s="788"/>
      <c r="K505" s="787"/>
      <c r="L505" s="789"/>
      <c r="M505" s="789"/>
      <c r="N505" s="790"/>
      <c r="O505" s="789"/>
      <c r="P505" s="789"/>
      <c r="Q505" s="789"/>
      <c r="R505" s="790"/>
      <c r="S505" s="877"/>
      <c r="AB505" s="84">
        <f t="shared" si="69"/>
        <v>0</v>
      </c>
    </row>
    <row r="506" spans="1:31" x14ac:dyDescent="0.25">
      <c r="E506" s="791"/>
      <c r="F506" s="792" t="s">
        <v>235</v>
      </c>
      <c r="G506" s="793" t="s">
        <v>236</v>
      </c>
      <c r="H506" s="794">
        <f>SUM(H504:H504)</f>
        <v>0</v>
      </c>
      <c r="I506" s="794">
        <f>SUM(I504:I504)</f>
        <v>0</v>
      </c>
      <c r="J506" s="795"/>
      <c r="K506" s="794">
        <f>H506-I506</f>
        <v>0</v>
      </c>
      <c r="L506" s="796">
        <v>0</v>
      </c>
      <c r="M506" s="796">
        <v>0</v>
      </c>
      <c r="N506" s="797"/>
      <c r="O506" s="796">
        <f>L506-M506</f>
        <v>0</v>
      </c>
      <c r="P506" s="796">
        <f>L506+H506</f>
        <v>0</v>
      </c>
      <c r="Q506" s="796">
        <f>M506+I506</f>
        <v>0</v>
      </c>
      <c r="R506" s="797"/>
      <c r="S506" s="796">
        <f>P506-Q506</f>
        <v>0</v>
      </c>
      <c r="AB506" s="84">
        <f t="shared" si="69"/>
        <v>0</v>
      </c>
    </row>
    <row r="507" spans="1:31" ht="15.75" thickBot="1" x14ac:dyDescent="0.3">
      <c r="E507" s="791"/>
      <c r="F507" s="817" t="s">
        <v>247</v>
      </c>
      <c r="G507" s="793" t="s">
        <v>4745</v>
      </c>
      <c r="H507" s="794">
        <f>SUM(H505:H505)</f>
        <v>0</v>
      </c>
      <c r="I507" s="794">
        <f>SUM(I505:I505)</f>
        <v>0</v>
      </c>
      <c r="J507" s="795"/>
      <c r="K507" s="794">
        <f>H507-I507</f>
        <v>0</v>
      </c>
      <c r="L507" s="796">
        <f>L504</f>
        <v>25000000</v>
      </c>
      <c r="M507" s="796">
        <v>0</v>
      </c>
      <c r="N507" s="797"/>
      <c r="O507" s="796">
        <f>L507-M507</f>
        <v>25000000</v>
      </c>
      <c r="P507" s="796">
        <f>L507+H507</f>
        <v>25000000</v>
      </c>
      <c r="Q507" s="796"/>
      <c r="R507" s="797"/>
      <c r="S507" s="796"/>
    </row>
    <row r="508" spans="1:31" ht="15.75" thickBot="1" x14ac:dyDescent="0.3">
      <c r="G508" s="798" t="s">
        <v>5190</v>
      </c>
      <c r="H508" s="799">
        <f>SUM(H506:H507)</f>
        <v>0</v>
      </c>
      <c r="I508" s="799">
        <f>SUM(I506:I506)</f>
        <v>0</v>
      </c>
      <c r="J508" s="800"/>
      <c r="K508" s="799">
        <f>H508-I508</f>
        <v>0</v>
      </c>
      <c r="L508" s="801">
        <f>SUM(L506:L507)</f>
        <v>25000000</v>
      </c>
      <c r="M508" s="801">
        <f>SUM(M506:M506)</f>
        <v>0</v>
      </c>
      <c r="N508" s="802"/>
      <c r="O508" s="801">
        <f>L508-M508</f>
        <v>25000000</v>
      </c>
      <c r="P508" s="801">
        <f>L508+H508</f>
        <v>25000000</v>
      </c>
      <c r="Q508" s="801">
        <f>M508+I508</f>
        <v>0</v>
      </c>
      <c r="R508" s="802"/>
      <c r="S508" s="801">
        <f>P508-Q508</f>
        <v>25000000</v>
      </c>
      <c r="AB508" s="84">
        <f t="shared" si="69"/>
        <v>0</v>
      </c>
    </row>
    <row r="509" spans="1:31" collapsed="1" x14ac:dyDescent="0.25">
      <c r="E509" s="784"/>
      <c r="F509" s="785"/>
      <c r="G509" s="803" t="s">
        <v>5191</v>
      </c>
      <c r="H509" s="804"/>
      <c r="I509" s="805"/>
      <c r="J509" s="806"/>
      <c r="K509" s="805"/>
      <c r="L509" s="807"/>
      <c r="M509" s="808"/>
      <c r="N509" s="809"/>
      <c r="O509" s="808"/>
      <c r="P509" s="808"/>
      <c r="Q509" s="808"/>
      <c r="R509" s="809"/>
      <c r="S509" s="878"/>
      <c r="AB509" s="84">
        <f t="shared" si="69"/>
        <v>0</v>
      </c>
    </row>
    <row r="510" spans="1:31" x14ac:dyDescent="0.25">
      <c r="E510" s="791"/>
      <c r="F510" s="792" t="s">
        <v>235</v>
      </c>
      <c r="G510" s="793" t="s">
        <v>236</v>
      </c>
      <c r="H510" s="794">
        <f>H506</f>
        <v>0</v>
      </c>
      <c r="I510" s="794">
        <f t="shared" ref="I510:S510" si="79">I506</f>
        <v>0</v>
      </c>
      <c r="J510" s="795"/>
      <c r="K510" s="794">
        <f t="shared" si="79"/>
        <v>0</v>
      </c>
      <c r="L510" s="796">
        <f t="shared" si="79"/>
        <v>0</v>
      </c>
      <c r="M510" s="796">
        <f t="shared" si="79"/>
        <v>0</v>
      </c>
      <c r="N510" s="797"/>
      <c r="O510" s="796">
        <f t="shared" si="79"/>
        <v>0</v>
      </c>
      <c r="P510" s="796">
        <f t="shared" si="79"/>
        <v>0</v>
      </c>
      <c r="Q510" s="796">
        <f t="shared" si="79"/>
        <v>0</v>
      </c>
      <c r="R510" s="797"/>
      <c r="S510" s="796">
        <f t="shared" si="79"/>
        <v>0</v>
      </c>
      <c r="AB510" s="84">
        <f t="shared" si="69"/>
        <v>0</v>
      </c>
    </row>
    <row r="511" spans="1:31" ht="15.75" thickBot="1" x14ac:dyDescent="0.3">
      <c r="E511" s="791"/>
      <c r="F511" s="817" t="s">
        <v>247</v>
      </c>
      <c r="G511" s="793" t="s">
        <v>4745</v>
      </c>
      <c r="H511" s="794">
        <f>H507</f>
        <v>0</v>
      </c>
      <c r="I511" s="794"/>
      <c r="J511" s="795"/>
      <c r="K511" s="794"/>
      <c r="L511" s="796">
        <f t="shared" ref="L511:P512" si="80">L507</f>
        <v>25000000</v>
      </c>
      <c r="M511" s="796">
        <f t="shared" si="80"/>
        <v>0</v>
      </c>
      <c r="N511" s="797">
        <f t="shared" si="80"/>
        <v>0</v>
      </c>
      <c r="O511" s="796">
        <f t="shared" si="80"/>
        <v>25000000</v>
      </c>
      <c r="P511" s="796">
        <f t="shared" si="80"/>
        <v>25000000</v>
      </c>
      <c r="Q511" s="796"/>
      <c r="R511" s="797"/>
      <c r="S511" s="796"/>
    </row>
    <row r="512" spans="1:31" ht="15.75" collapsed="1" thickBot="1" x14ac:dyDescent="0.3">
      <c r="G512" s="798" t="s">
        <v>5192</v>
      </c>
      <c r="H512" s="799">
        <f>H508</f>
        <v>0</v>
      </c>
      <c r="I512" s="799">
        <f>SUM(I510:I510)</f>
        <v>0</v>
      </c>
      <c r="J512" s="800"/>
      <c r="K512" s="799">
        <f>SUM(K510:K510)</f>
        <v>0</v>
      </c>
      <c r="L512" s="801">
        <f t="shared" si="80"/>
        <v>25000000</v>
      </c>
      <c r="M512" s="801">
        <f t="shared" si="80"/>
        <v>0</v>
      </c>
      <c r="N512" s="802">
        <f t="shared" si="80"/>
        <v>0</v>
      </c>
      <c r="O512" s="801">
        <f t="shared" si="80"/>
        <v>25000000</v>
      </c>
      <c r="P512" s="801">
        <f t="shared" si="80"/>
        <v>25000000</v>
      </c>
      <c r="Q512" s="801">
        <f>M512+I512</f>
        <v>0</v>
      </c>
      <c r="R512" s="802"/>
      <c r="S512" s="801">
        <f>P512-Q512</f>
        <v>25000000</v>
      </c>
      <c r="AB512" s="84">
        <f t="shared" si="69"/>
        <v>0</v>
      </c>
    </row>
    <row r="513" spans="1:31" x14ac:dyDescent="0.25">
      <c r="AB513" s="84">
        <f t="shared" si="69"/>
        <v>0</v>
      </c>
    </row>
    <row r="514" spans="1:31" s="972" customFormat="1" x14ac:dyDescent="0.25">
      <c r="A514" s="767"/>
      <c r="B514" s="768"/>
      <c r="C514" s="968"/>
      <c r="D514" s="767"/>
      <c r="E514" s="768"/>
      <c r="F514" s="785"/>
      <c r="G514" s="821" t="s">
        <v>4806</v>
      </c>
      <c r="H514" s="822"/>
      <c r="I514" s="822"/>
      <c r="J514" s="823"/>
      <c r="K514" s="822"/>
      <c r="L514" s="824"/>
      <c r="M514" s="824"/>
      <c r="N514" s="825"/>
      <c r="O514" s="824"/>
      <c r="P514" s="824"/>
      <c r="Q514" s="824"/>
      <c r="R514" s="825"/>
      <c r="S514" s="880"/>
      <c r="T514" s="971"/>
      <c r="V514" s="973"/>
      <c r="W514" s="973"/>
      <c r="X514" s="833"/>
      <c r="Y514" s="834"/>
      <c r="Z514" s="830"/>
      <c r="AA514" s="831"/>
      <c r="AB514" s="972">
        <f t="shared" si="69"/>
        <v>0</v>
      </c>
    </row>
    <row r="515" spans="1:31" s="972" customFormat="1" x14ac:dyDescent="0.25">
      <c r="A515" s="767"/>
      <c r="B515" s="768"/>
      <c r="C515" s="968"/>
      <c r="D515" s="767"/>
      <c r="E515" s="768"/>
      <c r="F515" s="792" t="s">
        <v>235</v>
      </c>
      <c r="G515" s="793" t="s">
        <v>236</v>
      </c>
      <c r="H515" s="794">
        <f>H497+H485+H510</f>
        <v>8497737.8100000005</v>
      </c>
      <c r="I515" s="794">
        <f>I497+I485+I510</f>
        <v>3813773.6399999997</v>
      </c>
      <c r="J515" s="795">
        <f>I515/H515</f>
        <v>0.44879869504940628</v>
      </c>
      <c r="K515" s="794">
        <f>H515-I515</f>
        <v>4683964.1700000009</v>
      </c>
      <c r="L515" s="796">
        <v>0</v>
      </c>
      <c r="M515" s="796">
        <v>0</v>
      </c>
      <c r="N515" s="797"/>
      <c r="O515" s="796">
        <f>L515-M515</f>
        <v>0</v>
      </c>
      <c r="P515" s="796">
        <f>L515+H515</f>
        <v>8497737.8100000005</v>
      </c>
      <c r="Q515" s="796">
        <f>M515+I515</f>
        <v>3813773.6399999997</v>
      </c>
      <c r="R515" s="797">
        <f>Q515/P515</f>
        <v>0.44879869504940628</v>
      </c>
      <c r="S515" s="796">
        <f>P515-Q515</f>
        <v>4683964.1700000009</v>
      </c>
      <c r="T515" s="971"/>
      <c r="V515" s="973"/>
      <c r="W515" s="973"/>
      <c r="X515" s="833"/>
      <c r="Y515" s="834"/>
      <c r="Z515" s="830"/>
      <c r="AA515" s="831"/>
      <c r="AB515" s="972">
        <f t="shared" si="69"/>
        <v>0</v>
      </c>
    </row>
    <row r="516" spans="1:31" s="972" customFormat="1" x14ac:dyDescent="0.25">
      <c r="A516" s="767"/>
      <c r="B516" s="768"/>
      <c r="C516" s="968"/>
      <c r="D516" s="767"/>
      <c r="E516" s="768"/>
      <c r="F516" s="817" t="s">
        <v>247</v>
      </c>
      <c r="G516" s="793" t="s">
        <v>4745</v>
      </c>
      <c r="H516" s="794">
        <v>0</v>
      </c>
      <c r="I516" s="794">
        <v>0</v>
      </c>
      <c r="J516" s="795"/>
      <c r="K516" s="794">
        <v>0</v>
      </c>
      <c r="L516" s="796">
        <f>L498+L511</f>
        <v>37254118.390000001</v>
      </c>
      <c r="M516" s="796">
        <f>M498</f>
        <v>0</v>
      </c>
      <c r="N516" s="797"/>
      <c r="O516" s="796">
        <f>L516-M516</f>
        <v>37254118.390000001</v>
      </c>
      <c r="P516" s="796">
        <f>L516+H516</f>
        <v>37254118.390000001</v>
      </c>
      <c r="Q516" s="796">
        <f>M516+I516</f>
        <v>0</v>
      </c>
      <c r="R516" s="797"/>
      <c r="S516" s="796">
        <f>P516-Q516</f>
        <v>37254118.390000001</v>
      </c>
      <c r="T516" s="971"/>
      <c r="V516" s="973"/>
      <c r="W516" s="973"/>
      <c r="X516" s="833"/>
      <c r="Y516" s="834"/>
      <c r="Z516" s="830"/>
      <c r="AA516" s="831"/>
      <c r="AB516" s="972">
        <f t="shared" si="69"/>
        <v>0</v>
      </c>
    </row>
    <row r="517" spans="1:31" s="972" customFormat="1" ht="15.75" thickBot="1" x14ac:dyDescent="0.3">
      <c r="A517" s="767"/>
      <c r="B517" s="768"/>
      <c r="C517" s="968"/>
      <c r="D517" s="767"/>
      <c r="E517" s="768"/>
      <c r="F517" s="817">
        <v>10</v>
      </c>
      <c r="G517" s="793" t="s">
        <v>13</v>
      </c>
      <c r="H517" s="794">
        <v>0</v>
      </c>
      <c r="I517" s="794">
        <v>0</v>
      </c>
      <c r="J517" s="795"/>
      <c r="K517" s="794">
        <v>0</v>
      </c>
      <c r="L517" s="796">
        <f>L499</f>
        <v>7000000</v>
      </c>
      <c r="M517" s="796">
        <f>M499</f>
        <v>0</v>
      </c>
      <c r="N517" s="797"/>
      <c r="O517" s="796">
        <f>L517-M517</f>
        <v>7000000</v>
      </c>
      <c r="P517" s="796">
        <f>L517+H517</f>
        <v>7000000</v>
      </c>
      <c r="Q517" s="796"/>
      <c r="R517" s="797"/>
      <c r="S517" s="796"/>
      <c r="T517" s="971"/>
      <c r="V517" s="973"/>
      <c r="W517" s="973"/>
      <c r="X517" s="833"/>
      <c r="Y517" s="834"/>
      <c r="Z517" s="830"/>
      <c r="AA517" s="831"/>
    </row>
    <row r="518" spans="1:31" s="972" customFormat="1" ht="15.75" thickBot="1" x14ac:dyDescent="0.3">
      <c r="A518" s="767"/>
      <c r="B518" s="768"/>
      <c r="C518" s="968"/>
      <c r="D518" s="767"/>
      <c r="E518" s="768"/>
      <c r="F518" s="759"/>
      <c r="G518" s="798" t="s">
        <v>4807</v>
      </c>
      <c r="H518" s="799">
        <f>SUM(H515:H517)</f>
        <v>8497737.8100000005</v>
      </c>
      <c r="I518" s="799">
        <f>SUM(I515:I516)</f>
        <v>3813773.6399999997</v>
      </c>
      <c r="J518" s="800">
        <f>I518/H518</f>
        <v>0.44879869504940628</v>
      </c>
      <c r="K518" s="799">
        <f>SUM(K515:K516)</f>
        <v>4683964.1700000009</v>
      </c>
      <c r="L518" s="801">
        <f>SUM(L515:L517)</f>
        <v>44254118.390000001</v>
      </c>
      <c r="M518" s="801">
        <f>SUM(M515:M516)</f>
        <v>0</v>
      </c>
      <c r="N518" s="802"/>
      <c r="O518" s="801">
        <f>SUM(O515:O516)</f>
        <v>37254118.390000001</v>
      </c>
      <c r="P518" s="801">
        <f>SUM(P515:P517)</f>
        <v>52751856.200000003</v>
      </c>
      <c r="Q518" s="801">
        <f>SUM(Q515:Q516)</f>
        <v>3813773.6399999997</v>
      </c>
      <c r="R518" s="802">
        <f>Q518/P518</f>
        <v>7.2296482336862283E-2</v>
      </c>
      <c r="S518" s="801">
        <f>SUM(S515:S516)</f>
        <v>41938082.560000002</v>
      </c>
      <c r="T518" s="971"/>
      <c r="V518" s="973"/>
      <c r="W518" s="973"/>
      <c r="X518" s="833"/>
      <c r="Y518" s="834"/>
      <c r="Z518" s="830"/>
      <c r="AA518" s="831"/>
      <c r="AB518" s="972">
        <f t="shared" si="69"/>
        <v>0</v>
      </c>
    </row>
    <row r="519" spans="1:31" s="972" customFormat="1" x14ac:dyDescent="0.25">
      <c r="A519" s="767"/>
      <c r="B519" s="768"/>
      <c r="C519" s="968"/>
      <c r="D519" s="981"/>
      <c r="E519" s="982"/>
      <c r="F519" s="983"/>
      <c r="G519" s="984"/>
      <c r="H519" s="774"/>
      <c r="I519" s="774"/>
      <c r="J519" s="775"/>
      <c r="K519" s="774"/>
      <c r="L519" s="776"/>
      <c r="M519" s="776"/>
      <c r="N519" s="777"/>
      <c r="O519" s="776"/>
      <c r="P519" s="776"/>
      <c r="Q519" s="776"/>
      <c r="R519" s="777"/>
      <c r="S519" s="970"/>
      <c r="T519" s="971"/>
      <c r="V519" s="973"/>
      <c r="W519" s="973"/>
      <c r="X519" s="833"/>
      <c r="Y519" s="834"/>
      <c r="Z519" s="830"/>
      <c r="AA519" s="831"/>
      <c r="AB519" s="972">
        <f t="shared" si="69"/>
        <v>0</v>
      </c>
    </row>
    <row r="520" spans="1:31" x14ac:dyDescent="0.25">
      <c r="C520" s="761" t="s">
        <v>3603</v>
      </c>
      <c r="G520" s="869" t="s">
        <v>4149</v>
      </c>
      <c r="AB520" s="84">
        <f t="shared" si="69"/>
        <v>0</v>
      </c>
    </row>
    <row r="521" spans="1:31" ht="28.5" x14ac:dyDescent="0.25">
      <c r="C521" s="992" t="s">
        <v>4084</v>
      </c>
      <c r="G521" s="869" t="s">
        <v>4085</v>
      </c>
      <c r="AB521" s="84">
        <f t="shared" si="69"/>
        <v>0</v>
      </c>
    </row>
    <row r="522" spans="1:31" x14ac:dyDescent="0.25">
      <c r="C522" s="761"/>
      <c r="D522" s="778">
        <v>130</v>
      </c>
      <c r="E522" s="779"/>
      <c r="F522" s="778"/>
      <c r="G522" s="975" t="s">
        <v>113</v>
      </c>
      <c r="AB522" s="84">
        <f t="shared" si="69"/>
        <v>0</v>
      </c>
    </row>
    <row r="523" spans="1:31" x14ac:dyDescent="0.25">
      <c r="E523" s="760" t="s">
        <v>5196</v>
      </c>
      <c r="F523" s="782">
        <v>411</v>
      </c>
      <c r="G523" s="783" t="s">
        <v>4114</v>
      </c>
      <c r="H523" s="763">
        <v>41426453</v>
      </c>
      <c r="I523" s="763">
        <f>28171932.46+3102736.24</f>
        <v>31274668.700000003</v>
      </c>
      <c r="J523" s="764">
        <f>I523/H523</f>
        <v>0.75494439989829698</v>
      </c>
      <c r="K523" s="763">
        <f>H523-I523</f>
        <v>10151784.299999997</v>
      </c>
      <c r="L523" s="765">
        <v>0</v>
      </c>
      <c r="M523" s="765">
        <v>0</v>
      </c>
      <c r="O523" s="765">
        <f>L523-M523</f>
        <v>0</v>
      </c>
      <c r="P523" s="765">
        <f>L523+H523</f>
        <v>41426453</v>
      </c>
      <c r="Q523" s="765">
        <f>M523+I523</f>
        <v>31274668.700000003</v>
      </c>
      <c r="R523" s="766">
        <f>Q523/P523</f>
        <v>0.75494439989829698</v>
      </c>
      <c r="S523" s="765">
        <f>P523-Q523</f>
        <v>10151784.299999997</v>
      </c>
      <c r="Y523" s="834">
        <v>163815.39999999851</v>
      </c>
      <c r="Z523" s="830">
        <f t="shared" ref="Z523:Z577" si="81">H523-X523+Y523</f>
        <v>41590268.399999999</v>
      </c>
      <c r="AA523" s="831">
        <v>39452926.409999996</v>
      </c>
      <c r="AB523" s="84">
        <f t="shared" ref="AB523:AB586" si="82">Z523-AA523</f>
        <v>2137341.9900000021</v>
      </c>
      <c r="AE523" s="84">
        <f t="shared" ref="AE523:AE577" si="83">H523-AA523</f>
        <v>1973526.5900000036</v>
      </c>
    </row>
    <row r="524" spans="1:31" x14ac:dyDescent="0.25">
      <c r="E524" s="760" t="s">
        <v>5460</v>
      </c>
      <c r="F524" s="782">
        <v>412</v>
      </c>
      <c r="G524" s="783" t="s">
        <v>3768</v>
      </c>
      <c r="H524" s="763">
        <v>7113764</v>
      </c>
      <c r="I524" s="763">
        <f>5055358.06+551849.29</f>
        <v>5607207.3499999996</v>
      </c>
      <c r="J524" s="764">
        <f t="shared" ref="J524:J577" si="84">I524/H524</f>
        <v>0.7882194784645653</v>
      </c>
      <c r="K524" s="763">
        <f t="shared" ref="K524:K577" si="85">H524-I524</f>
        <v>1506556.6500000004</v>
      </c>
      <c r="L524" s="765">
        <v>0</v>
      </c>
      <c r="M524" s="765">
        <v>0</v>
      </c>
      <c r="O524" s="765">
        <f t="shared" ref="O524:O577" si="86">L524-M524</f>
        <v>0</v>
      </c>
      <c r="P524" s="765">
        <f t="shared" ref="P524:P577" si="87">L524+H524</f>
        <v>7113764</v>
      </c>
      <c r="Q524" s="765">
        <f t="shared" ref="Q524:Q577" si="88">M524+I524</f>
        <v>5607207.3499999996</v>
      </c>
      <c r="R524" s="766">
        <f t="shared" ref="R524:R577" si="89">Q524/P524</f>
        <v>0.7882194784645653</v>
      </c>
      <c r="S524" s="765">
        <f t="shared" ref="S524:S577" si="90">P524-Q524</f>
        <v>1506556.6500000004</v>
      </c>
      <c r="Y524" s="834">
        <v>29322.950000000186</v>
      </c>
      <c r="Z524" s="830">
        <f t="shared" si="81"/>
        <v>7143086.9500000002</v>
      </c>
      <c r="AA524" s="831">
        <v>7062074.8100000005</v>
      </c>
      <c r="AB524" s="84">
        <f t="shared" si="82"/>
        <v>81012.139999999665</v>
      </c>
      <c r="AE524" s="84">
        <f t="shared" si="83"/>
        <v>51689.189999999478</v>
      </c>
    </row>
    <row r="525" spans="1:31" x14ac:dyDescent="0.25">
      <c r="E525" s="760" t="s">
        <v>5197</v>
      </c>
      <c r="F525" s="782">
        <v>413</v>
      </c>
      <c r="G525" s="783" t="s">
        <v>4115</v>
      </c>
      <c r="H525" s="763">
        <v>200000</v>
      </c>
      <c r="I525" s="763">
        <v>2653597.5</v>
      </c>
      <c r="J525" s="764">
        <f t="shared" si="84"/>
        <v>13.2679875</v>
      </c>
      <c r="K525" s="763">
        <f t="shared" si="85"/>
        <v>-2453597.5</v>
      </c>
      <c r="L525" s="765">
        <v>0</v>
      </c>
      <c r="M525" s="765">
        <v>0</v>
      </c>
      <c r="O525" s="765">
        <f t="shared" si="86"/>
        <v>0</v>
      </c>
      <c r="P525" s="765">
        <f t="shared" si="87"/>
        <v>200000</v>
      </c>
      <c r="Q525" s="765">
        <f t="shared" si="88"/>
        <v>2653597.5</v>
      </c>
      <c r="R525" s="766">
        <f t="shared" si="89"/>
        <v>13.2679875</v>
      </c>
      <c r="S525" s="765">
        <f t="shared" si="90"/>
        <v>-2453597.5</v>
      </c>
      <c r="V525" s="203">
        <f>501111+150000+2653597.5</f>
        <v>3304708.5</v>
      </c>
      <c r="W525" s="203">
        <f>H525-V525</f>
        <v>-3104708.5</v>
      </c>
      <c r="X525" s="833">
        <v>561329.5</v>
      </c>
      <c r="Z525" s="830">
        <f t="shared" si="81"/>
        <v>-361329.5</v>
      </c>
      <c r="AA525" s="831">
        <v>3866038</v>
      </c>
      <c r="AB525" s="84">
        <f t="shared" si="82"/>
        <v>-4227367.5</v>
      </c>
      <c r="AE525" s="84">
        <f t="shared" si="83"/>
        <v>-3666038</v>
      </c>
    </row>
    <row r="526" spans="1:31" x14ac:dyDescent="0.25">
      <c r="E526" s="760" t="s">
        <v>5198</v>
      </c>
      <c r="F526" s="782">
        <v>414</v>
      </c>
      <c r="G526" s="783" t="s">
        <v>3771</v>
      </c>
      <c r="H526" s="763">
        <v>739256</v>
      </c>
      <c r="I526" s="763">
        <f>222236.6+190727</f>
        <v>412963.6</v>
      </c>
      <c r="J526" s="764">
        <f t="shared" si="84"/>
        <v>0.5586205590485569</v>
      </c>
      <c r="K526" s="763">
        <f t="shared" si="85"/>
        <v>326292.40000000002</v>
      </c>
      <c r="L526" s="765">
        <v>0</v>
      </c>
      <c r="M526" s="765">
        <v>0</v>
      </c>
      <c r="O526" s="765">
        <f t="shared" si="86"/>
        <v>0</v>
      </c>
      <c r="P526" s="765">
        <f t="shared" si="87"/>
        <v>739256</v>
      </c>
      <c r="Q526" s="765">
        <f t="shared" si="88"/>
        <v>412963.6</v>
      </c>
      <c r="R526" s="766">
        <f t="shared" si="89"/>
        <v>0.5586205590485569</v>
      </c>
      <c r="S526" s="765">
        <f t="shared" si="90"/>
        <v>326292.40000000002</v>
      </c>
      <c r="V526" s="203">
        <v>200000</v>
      </c>
      <c r="W526" s="203">
        <f>V526-K526</f>
        <v>-126292.40000000002</v>
      </c>
      <c r="Y526" s="834">
        <v>68000</v>
      </c>
      <c r="Z526" s="830">
        <f t="shared" si="81"/>
        <v>807256</v>
      </c>
      <c r="AA526" s="831">
        <v>545864.30000000005</v>
      </c>
      <c r="AB526" s="84">
        <f t="shared" si="82"/>
        <v>261391.69999999995</v>
      </c>
      <c r="AE526" s="84">
        <f t="shared" si="83"/>
        <v>193391.69999999995</v>
      </c>
    </row>
    <row r="527" spans="1:31" x14ac:dyDescent="0.25">
      <c r="E527" s="760" t="s">
        <v>5199</v>
      </c>
      <c r="F527" s="782">
        <v>415</v>
      </c>
      <c r="G527" s="783" t="s">
        <v>4124</v>
      </c>
      <c r="H527" s="763">
        <v>2580000</v>
      </c>
      <c r="I527" s="763">
        <f>1010719.76+118387.3</f>
        <v>1129107.06</v>
      </c>
      <c r="J527" s="764">
        <f t="shared" si="84"/>
        <v>0.43763839534883725</v>
      </c>
      <c r="K527" s="763">
        <f t="shared" si="85"/>
        <v>1450892.94</v>
      </c>
      <c r="L527" s="765">
        <v>0</v>
      </c>
      <c r="M527" s="765">
        <v>0</v>
      </c>
      <c r="O527" s="765">
        <f t="shared" si="86"/>
        <v>0</v>
      </c>
      <c r="P527" s="765">
        <f t="shared" si="87"/>
        <v>2580000</v>
      </c>
      <c r="Q527" s="765">
        <f t="shared" si="88"/>
        <v>1129107.06</v>
      </c>
      <c r="R527" s="766">
        <f t="shared" si="89"/>
        <v>0.43763839534883725</v>
      </c>
      <c r="S527" s="765">
        <f t="shared" si="90"/>
        <v>1450892.94</v>
      </c>
      <c r="V527" s="203">
        <f>(416000*3)+1605591.1</f>
        <v>2853591.1</v>
      </c>
      <c r="W527" s="203">
        <f>V527-H527</f>
        <v>273591.10000000009</v>
      </c>
      <c r="Y527" s="834">
        <v>1248000</v>
      </c>
      <c r="Z527" s="830">
        <f t="shared" si="81"/>
        <v>3828000</v>
      </c>
      <c r="AA527" s="831">
        <v>1605591.1</v>
      </c>
      <c r="AB527" s="84">
        <f t="shared" si="82"/>
        <v>2222408.9</v>
      </c>
      <c r="AE527" s="84">
        <f t="shared" si="83"/>
        <v>974408.89999999991</v>
      </c>
    </row>
    <row r="528" spans="1:31" x14ac:dyDescent="0.25">
      <c r="A528" s="84"/>
      <c r="B528" s="84"/>
      <c r="C528" s="84"/>
      <c r="D528" s="84"/>
      <c r="E528" s="760" t="s">
        <v>5200</v>
      </c>
      <c r="F528" s="782">
        <v>416</v>
      </c>
      <c r="G528" s="783" t="s">
        <v>4125</v>
      </c>
      <c r="H528" s="763">
        <v>1027000</v>
      </c>
      <c r="I528" s="763">
        <f>1201310.08+86381.51</f>
        <v>1287691.5900000001</v>
      </c>
      <c r="J528" s="764">
        <f t="shared" si="84"/>
        <v>1.2538379649464459</v>
      </c>
      <c r="K528" s="763">
        <f t="shared" si="85"/>
        <v>-260691.59000000008</v>
      </c>
      <c r="L528" s="765">
        <v>0</v>
      </c>
      <c r="M528" s="765">
        <v>0</v>
      </c>
      <c r="O528" s="765">
        <f t="shared" si="86"/>
        <v>0</v>
      </c>
      <c r="P528" s="765">
        <f t="shared" si="87"/>
        <v>1027000</v>
      </c>
      <c r="Q528" s="765">
        <f t="shared" si="88"/>
        <v>1287691.5900000001</v>
      </c>
      <c r="R528" s="766">
        <f t="shared" si="89"/>
        <v>1.2538379649464459</v>
      </c>
      <c r="S528" s="765">
        <f t="shared" si="90"/>
        <v>-260691.59000000008</v>
      </c>
      <c r="T528" s="84"/>
      <c r="V528" s="203">
        <f>77000+1287691.59</f>
        <v>1364691.59</v>
      </c>
      <c r="W528" s="203">
        <f>V528-H528</f>
        <v>337691.59000000008</v>
      </c>
      <c r="Y528" s="834">
        <v>212634.59</v>
      </c>
      <c r="Z528" s="830">
        <f t="shared" si="81"/>
        <v>1239634.5900000001</v>
      </c>
      <c r="AA528" s="831">
        <v>1152057</v>
      </c>
      <c r="AB528" s="84">
        <f t="shared" si="82"/>
        <v>87577.590000000084</v>
      </c>
      <c r="AE528" s="84">
        <f t="shared" si="83"/>
        <v>-125057</v>
      </c>
    </row>
    <row r="529" spans="1:31" hidden="1" x14ac:dyDescent="0.25">
      <c r="A529" s="84"/>
      <c r="B529" s="84"/>
      <c r="C529" s="84"/>
      <c r="D529" s="84"/>
      <c r="F529" s="782">
        <v>417</v>
      </c>
      <c r="G529" s="783" t="s">
        <v>4126</v>
      </c>
      <c r="H529" s="763">
        <v>0</v>
      </c>
      <c r="I529" s="763">
        <v>0</v>
      </c>
      <c r="J529" s="764" t="e">
        <f t="shared" si="84"/>
        <v>#DIV/0!</v>
      </c>
      <c r="K529" s="763">
        <f t="shared" si="85"/>
        <v>0</v>
      </c>
      <c r="L529" s="765">
        <v>0</v>
      </c>
      <c r="M529" s="765">
        <v>0</v>
      </c>
      <c r="O529" s="765">
        <f t="shared" si="86"/>
        <v>0</v>
      </c>
      <c r="P529" s="765">
        <f t="shared" si="87"/>
        <v>0</v>
      </c>
      <c r="Q529" s="765">
        <f t="shared" si="88"/>
        <v>0</v>
      </c>
      <c r="R529" s="766" t="e">
        <f t="shared" si="89"/>
        <v>#DIV/0!</v>
      </c>
      <c r="S529" s="765">
        <f t="shared" si="90"/>
        <v>0</v>
      </c>
      <c r="T529" s="84"/>
      <c r="Z529" s="830">
        <f t="shared" si="81"/>
        <v>0</v>
      </c>
      <c r="AA529" s="831">
        <v>0</v>
      </c>
      <c r="AB529" s="84">
        <f t="shared" si="82"/>
        <v>0</v>
      </c>
      <c r="AE529" s="84">
        <f t="shared" si="83"/>
        <v>0</v>
      </c>
    </row>
    <row r="530" spans="1:31" hidden="1" x14ac:dyDescent="0.25">
      <c r="A530" s="84"/>
      <c r="B530" s="84"/>
      <c r="C530" s="84"/>
      <c r="D530" s="84"/>
      <c r="F530" s="782">
        <v>418</v>
      </c>
      <c r="G530" s="783" t="s">
        <v>3777</v>
      </c>
      <c r="H530" s="763">
        <v>0</v>
      </c>
      <c r="I530" s="763">
        <v>0</v>
      </c>
      <c r="J530" s="764" t="e">
        <f t="shared" si="84"/>
        <v>#DIV/0!</v>
      </c>
      <c r="K530" s="763">
        <f t="shared" si="85"/>
        <v>0</v>
      </c>
      <c r="L530" s="765">
        <v>0</v>
      </c>
      <c r="M530" s="765">
        <v>0</v>
      </c>
      <c r="O530" s="765">
        <f t="shared" si="86"/>
        <v>0</v>
      </c>
      <c r="P530" s="765">
        <f t="shared" si="87"/>
        <v>0</v>
      </c>
      <c r="Q530" s="765">
        <f t="shared" si="88"/>
        <v>0</v>
      </c>
      <c r="R530" s="766" t="e">
        <f t="shared" si="89"/>
        <v>#DIV/0!</v>
      </c>
      <c r="S530" s="765">
        <f t="shared" si="90"/>
        <v>0</v>
      </c>
      <c r="T530" s="84"/>
      <c r="Z530" s="830">
        <f t="shared" si="81"/>
        <v>0</v>
      </c>
      <c r="AA530" s="831">
        <v>0</v>
      </c>
      <c r="AB530" s="84">
        <f t="shared" si="82"/>
        <v>0</v>
      </c>
      <c r="AE530" s="84">
        <f t="shared" si="83"/>
        <v>0</v>
      </c>
    </row>
    <row r="531" spans="1:31" x14ac:dyDescent="0.25">
      <c r="A531" s="84"/>
      <c r="B531" s="84"/>
      <c r="C531" s="84"/>
      <c r="D531" s="84"/>
      <c r="E531" s="760" t="s">
        <v>5201</v>
      </c>
      <c r="F531" s="782">
        <v>421</v>
      </c>
      <c r="G531" s="783" t="s">
        <v>3781</v>
      </c>
      <c r="H531" s="763">
        <f>16603187-559804</f>
        <v>16043383</v>
      </c>
      <c r="I531" s="763">
        <f>8314563.08+1851837.83</f>
        <v>10166400.91</v>
      </c>
      <c r="J531" s="764">
        <f t="shared" si="84"/>
        <v>0.63368186809477778</v>
      </c>
      <c r="K531" s="763">
        <f t="shared" si="85"/>
        <v>5876982.0899999999</v>
      </c>
      <c r="L531" s="765">
        <v>0</v>
      </c>
      <c r="M531" s="765">
        <v>0</v>
      </c>
      <c r="O531" s="765">
        <f t="shared" si="86"/>
        <v>0</v>
      </c>
      <c r="P531" s="765">
        <f t="shared" si="87"/>
        <v>16043383</v>
      </c>
      <c r="Q531" s="765">
        <f t="shared" si="88"/>
        <v>10166400.91</v>
      </c>
      <c r="R531" s="766">
        <f t="shared" si="89"/>
        <v>0.63368186809477778</v>
      </c>
      <c r="S531" s="765">
        <f t="shared" si="90"/>
        <v>5876982.0899999999</v>
      </c>
      <c r="T531" s="84"/>
      <c r="V531" s="203">
        <v>3748331.33</v>
      </c>
      <c r="W531" s="203">
        <f>V531-K531</f>
        <v>-2128650.7599999998</v>
      </c>
      <c r="X531" s="833">
        <v>43000</v>
      </c>
      <c r="Z531" s="830">
        <f t="shared" si="81"/>
        <v>16000383</v>
      </c>
      <c r="AA531" s="831">
        <v>13664036.23</v>
      </c>
      <c r="AB531" s="84">
        <f t="shared" si="82"/>
        <v>2336346.7699999996</v>
      </c>
      <c r="AE531" s="84">
        <f t="shared" si="83"/>
        <v>2379346.7699999996</v>
      </c>
    </row>
    <row r="532" spans="1:31" x14ac:dyDescent="0.25">
      <c r="A532" s="84"/>
      <c r="B532" s="84"/>
      <c r="C532" s="84"/>
      <c r="D532" s="84"/>
      <c r="E532" s="760" t="s">
        <v>5202</v>
      </c>
      <c r="F532" s="782">
        <v>422</v>
      </c>
      <c r="G532" s="783" t="s">
        <v>3782</v>
      </c>
      <c r="H532" s="763">
        <v>137436</v>
      </c>
      <c r="I532" s="763">
        <f>68679.5+1010</f>
        <v>69689.5</v>
      </c>
      <c r="J532" s="764">
        <f t="shared" si="84"/>
        <v>0.50706874472481733</v>
      </c>
      <c r="K532" s="763">
        <f t="shared" si="85"/>
        <v>67746.5</v>
      </c>
      <c r="L532" s="765">
        <v>0</v>
      </c>
      <c r="M532" s="765">
        <v>0</v>
      </c>
      <c r="O532" s="765">
        <f t="shared" si="86"/>
        <v>0</v>
      </c>
      <c r="P532" s="765">
        <f t="shared" si="87"/>
        <v>137436</v>
      </c>
      <c r="Q532" s="765">
        <f t="shared" si="88"/>
        <v>69689.5</v>
      </c>
      <c r="R532" s="766">
        <f t="shared" si="89"/>
        <v>0.50706874472481733</v>
      </c>
      <c r="S532" s="765">
        <f t="shared" si="90"/>
        <v>67746.5</v>
      </c>
      <c r="T532" s="84"/>
      <c r="Y532" s="834">
        <v>40000</v>
      </c>
      <c r="Z532" s="830">
        <f t="shared" si="81"/>
        <v>177436</v>
      </c>
      <c r="AA532" s="831">
        <v>40000</v>
      </c>
      <c r="AB532" s="84">
        <f t="shared" si="82"/>
        <v>137436</v>
      </c>
      <c r="AE532" s="84">
        <f t="shared" si="83"/>
        <v>97436</v>
      </c>
    </row>
    <row r="533" spans="1:31" x14ac:dyDescent="0.25">
      <c r="A533" s="84"/>
      <c r="B533" s="84"/>
      <c r="C533" s="84"/>
      <c r="D533" s="84"/>
      <c r="E533" s="760" t="s">
        <v>5203</v>
      </c>
      <c r="F533" s="782">
        <v>423</v>
      </c>
      <c r="G533" s="783" t="s">
        <v>3783</v>
      </c>
      <c r="H533" s="763">
        <v>14482500</v>
      </c>
      <c r="I533" s="763">
        <f>10530849.54+908638.91</f>
        <v>11439488.449999999</v>
      </c>
      <c r="J533" s="764">
        <f t="shared" si="84"/>
        <v>0.78988354565855334</v>
      </c>
      <c r="K533" s="763">
        <f t="shared" si="85"/>
        <v>3043011.5500000007</v>
      </c>
      <c r="L533" s="765">
        <v>0</v>
      </c>
      <c r="M533" s="765">
        <v>0</v>
      </c>
      <c r="O533" s="765">
        <f t="shared" si="86"/>
        <v>0</v>
      </c>
      <c r="P533" s="765">
        <f t="shared" si="87"/>
        <v>14482500</v>
      </c>
      <c r="Q533" s="765">
        <f t="shared" si="88"/>
        <v>11439488.449999999</v>
      </c>
      <c r="R533" s="766">
        <f t="shared" si="89"/>
        <v>0.78988354565855334</v>
      </c>
      <c r="S533" s="765">
        <f t="shared" si="90"/>
        <v>3043011.5500000007</v>
      </c>
      <c r="T533" s="84"/>
      <c r="V533" s="203">
        <v>3306712.16</v>
      </c>
      <c r="W533" s="203">
        <f>K533-V533</f>
        <v>-263700.6099999994</v>
      </c>
      <c r="X533" s="833">
        <v>810000</v>
      </c>
      <c r="Z533" s="830">
        <f t="shared" si="81"/>
        <v>13672500</v>
      </c>
      <c r="AA533" s="831">
        <v>15632316.920000002</v>
      </c>
      <c r="AB533" s="84">
        <f t="shared" si="82"/>
        <v>-1959816.9200000018</v>
      </c>
      <c r="AE533" s="84">
        <f t="shared" si="83"/>
        <v>-1149816.9200000018</v>
      </c>
    </row>
    <row r="534" spans="1:31" x14ac:dyDescent="0.25">
      <c r="A534" s="84"/>
      <c r="B534" s="84"/>
      <c r="C534" s="84"/>
      <c r="D534" s="84"/>
      <c r="E534" s="760" t="s">
        <v>5204</v>
      </c>
      <c r="F534" s="782">
        <v>424</v>
      </c>
      <c r="G534" s="783" t="s">
        <v>3785</v>
      </c>
      <c r="H534" s="763">
        <v>1230000</v>
      </c>
      <c r="I534" s="763">
        <f>1347386+55320</f>
        <v>1402706</v>
      </c>
      <c r="J534" s="764">
        <f t="shared" si="84"/>
        <v>1.1404113821138211</v>
      </c>
      <c r="K534" s="763">
        <f t="shared" si="85"/>
        <v>-172706</v>
      </c>
      <c r="L534" s="765">
        <v>0</v>
      </c>
      <c r="M534" s="765">
        <v>0</v>
      </c>
      <c r="O534" s="765">
        <f t="shared" si="86"/>
        <v>0</v>
      </c>
      <c r="P534" s="765">
        <f t="shared" si="87"/>
        <v>1230000</v>
      </c>
      <c r="Q534" s="765">
        <f t="shared" si="88"/>
        <v>1402706</v>
      </c>
      <c r="R534" s="766">
        <f t="shared" si="89"/>
        <v>1.1404113821138211</v>
      </c>
      <c r="S534" s="765">
        <f t="shared" si="90"/>
        <v>-172706</v>
      </c>
      <c r="T534" s="84"/>
      <c r="V534" s="203">
        <f>134710+I534</f>
        <v>1537416</v>
      </c>
      <c r="W534" s="203">
        <f>V534-H534</f>
        <v>307416</v>
      </c>
      <c r="Y534" s="834">
        <v>77416</v>
      </c>
      <c r="Z534" s="830">
        <f t="shared" si="81"/>
        <v>1307416</v>
      </c>
      <c r="AA534" s="831">
        <v>1460000</v>
      </c>
      <c r="AB534" s="84">
        <f t="shared" si="82"/>
        <v>-152584</v>
      </c>
      <c r="AE534" s="84">
        <f t="shared" si="83"/>
        <v>-230000</v>
      </c>
    </row>
    <row r="535" spans="1:31" x14ac:dyDescent="0.25">
      <c r="A535" s="84"/>
      <c r="B535" s="84"/>
      <c r="C535" s="84"/>
      <c r="D535" s="84"/>
      <c r="E535" s="760" t="s">
        <v>5205</v>
      </c>
      <c r="F535" s="782">
        <v>425</v>
      </c>
      <c r="G535" s="783" t="s">
        <v>4127</v>
      </c>
      <c r="H535" s="763">
        <v>4847441</v>
      </c>
      <c r="I535" s="763">
        <f>4484212.45+312936.37-689696.56-171004.8</f>
        <v>3936447.4600000004</v>
      </c>
      <c r="J535" s="764">
        <f t="shared" si="84"/>
        <v>0.81206712160086125</v>
      </c>
      <c r="K535" s="763">
        <f t="shared" si="85"/>
        <v>910993.53999999957</v>
      </c>
      <c r="L535" s="765">
        <v>0</v>
      </c>
      <c r="M535" s="765">
        <v>0</v>
      </c>
      <c r="O535" s="765">
        <f t="shared" si="86"/>
        <v>0</v>
      </c>
      <c r="P535" s="765">
        <f t="shared" si="87"/>
        <v>4847441</v>
      </c>
      <c r="Q535" s="765">
        <f t="shared" si="88"/>
        <v>3936447.4600000004</v>
      </c>
      <c r="R535" s="766">
        <f t="shared" si="89"/>
        <v>0.81206712160086125</v>
      </c>
      <c r="S535" s="765">
        <f t="shared" si="90"/>
        <v>910993.53999999957</v>
      </c>
      <c r="T535" s="84"/>
      <c r="V535" s="203">
        <f>3364028.89+3000000</f>
        <v>6364028.8900000006</v>
      </c>
      <c r="W535" s="203">
        <f>V535-H535</f>
        <v>1516587.8900000006</v>
      </c>
      <c r="Y535" s="834">
        <f>400000+82876.35</f>
        <v>482876.35</v>
      </c>
      <c r="Z535" s="830">
        <f t="shared" si="81"/>
        <v>5330317.3499999996</v>
      </c>
      <c r="AA535" s="831">
        <v>6017600</v>
      </c>
      <c r="AB535" s="84">
        <f t="shared" si="82"/>
        <v>-687282.65000000037</v>
      </c>
      <c r="AE535" s="84">
        <f t="shared" si="83"/>
        <v>-1170159</v>
      </c>
    </row>
    <row r="536" spans="1:31" x14ac:dyDescent="0.25">
      <c r="A536" s="84"/>
      <c r="B536" s="84"/>
      <c r="C536" s="84"/>
      <c r="D536" s="84"/>
      <c r="E536" s="760" t="s">
        <v>5206</v>
      </c>
      <c r="F536" s="782">
        <v>426</v>
      </c>
      <c r="G536" s="783" t="s">
        <v>3789</v>
      </c>
      <c r="H536" s="763">
        <v>6600800</v>
      </c>
      <c r="I536" s="763">
        <f>3772219.81+456132.48</f>
        <v>4228352.29</v>
      </c>
      <c r="J536" s="764">
        <f t="shared" si="84"/>
        <v>0.64058179160101802</v>
      </c>
      <c r="K536" s="763">
        <f t="shared" si="85"/>
        <v>2372447.71</v>
      </c>
      <c r="L536" s="765">
        <v>0</v>
      </c>
      <c r="M536" s="765">
        <v>0</v>
      </c>
      <c r="O536" s="765">
        <f t="shared" si="86"/>
        <v>0</v>
      </c>
      <c r="P536" s="765">
        <f t="shared" si="87"/>
        <v>6600800</v>
      </c>
      <c r="Q536" s="765">
        <f t="shared" si="88"/>
        <v>4228352.29</v>
      </c>
      <c r="R536" s="766">
        <f t="shared" si="89"/>
        <v>0.64058179160101802</v>
      </c>
      <c r="S536" s="765">
        <f t="shared" si="90"/>
        <v>2372447.71</v>
      </c>
      <c r="T536" s="84"/>
      <c r="V536" s="203">
        <v>1789198.8199999998</v>
      </c>
      <c r="W536" s="203">
        <f>K536-V536</f>
        <v>583248.89000000013</v>
      </c>
      <c r="X536" s="833">
        <v>403027.43</v>
      </c>
      <c r="Z536" s="830">
        <f t="shared" si="81"/>
        <v>6197772.5700000003</v>
      </c>
      <c r="AA536" s="831">
        <v>6478848.0499999998</v>
      </c>
      <c r="AB536" s="84">
        <f t="shared" si="82"/>
        <v>-281075.47999999952</v>
      </c>
      <c r="AE536" s="84">
        <f t="shared" si="83"/>
        <v>121951.95000000019</v>
      </c>
    </row>
    <row r="537" spans="1:31" hidden="1" x14ac:dyDescent="0.25">
      <c r="A537" s="84"/>
      <c r="B537" s="84"/>
      <c r="C537" s="84"/>
      <c r="D537" s="84"/>
      <c r="F537" s="782">
        <v>431</v>
      </c>
      <c r="G537" s="783" t="s">
        <v>4128</v>
      </c>
      <c r="H537" s="763">
        <v>0</v>
      </c>
      <c r="I537" s="763">
        <v>0</v>
      </c>
      <c r="J537" s="764" t="e">
        <f t="shared" si="84"/>
        <v>#DIV/0!</v>
      </c>
      <c r="K537" s="763">
        <f t="shared" si="85"/>
        <v>0</v>
      </c>
      <c r="L537" s="765">
        <v>0</v>
      </c>
      <c r="M537" s="765">
        <v>0</v>
      </c>
      <c r="O537" s="765">
        <f t="shared" si="86"/>
        <v>0</v>
      </c>
      <c r="P537" s="765">
        <f t="shared" si="87"/>
        <v>0</v>
      </c>
      <c r="Q537" s="765">
        <f t="shared" si="88"/>
        <v>0</v>
      </c>
      <c r="R537" s="766" t="e">
        <f t="shared" si="89"/>
        <v>#DIV/0!</v>
      </c>
      <c r="S537" s="765">
        <f t="shared" si="90"/>
        <v>0</v>
      </c>
      <c r="T537" s="84"/>
      <c r="Z537" s="830">
        <f t="shared" si="81"/>
        <v>0</v>
      </c>
      <c r="AA537" s="831">
        <v>0</v>
      </c>
      <c r="AB537" s="84">
        <f t="shared" si="82"/>
        <v>0</v>
      </c>
      <c r="AE537" s="84">
        <f t="shared" si="83"/>
        <v>0</v>
      </c>
    </row>
    <row r="538" spans="1:31" hidden="1" x14ac:dyDescent="0.25">
      <c r="A538" s="84"/>
      <c r="B538" s="84"/>
      <c r="C538" s="84"/>
      <c r="D538" s="84"/>
      <c r="F538" s="782">
        <v>432</v>
      </c>
      <c r="G538" s="783" t="s">
        <v>4129</v>
      </c>
      <c r="H538" s="763">
        <v>0</v>
      </c>
      <c r="I538" s="763">
        <v>0</v>
      </c>
      <c r="J538" s="764" t="e">
        <f t="shared" si="84"/>
        <v>#DIV/0!</v>
      </c>
      <c r="K538" s="763">
        <f t="shared" si="85"/>
        <v>0</v>
      </c>
      <c r="L538" s="765">
        <v>0</v>
      </c>
      <c r="M538" s="765">
        <v>0</v>
      </c>
      <c r="O538" s="765">
        <f t="shared" si="86"/>
        <v>0</v>
      </c>
      <c r="P538" s="765">
        <f t="shared" si="87"/>
        <v>0</v>
      </c>
      <c r="Q538" s="765">
        <f t="shared" si="88"/>
        <v>0</v>
      </c>
      <c r="R538" s="766" t="e">
        <f t="shared" si="89"/>
        <v>#DIV/0!</v>
      </c>
      <c r="S538" s="765">
        <f t="shared" si="90"/>
        <v>0</v>
      </c>
      <c r="T538" s="84"/>
      <c r="Z538" s="830">
        <f t="shared" si="81"/>
        <v>0</v>
      </c>
      <c r="AA538" s="831">
        <v>0</v>
      </c>
      <c r="AB538" s="84">
        <f t="shared" si="82"/>
        <v>0</v>
      </c>
      <c r="AE538" s="84">
        <f t="shared" si="83"/>
        <v>0</v>
      </c>
    </row>
    <row r="539" spans="1:31" hidden="1" x14ac:dyDescent="0.25">
      <c r="A539" s="84"/>
      <c r="B539" s="84"/>
      <c r="C539" s="84"/>
      <c r="D539" s="84"/>
      <c r="F539" s="782">
        <v>433</v>
      </c>
      <c r="G539" s="783" t="s">
        <v>4130</v>
      </c>
      <c r="H539" s="763">
        <v>0</v>
      </c>
      <c r="I539" s="763">
        <v>0</v>
      </c>
      <c r="J539" s="764" t="e">
        <f t="shared" si="84"/>
        <v>#DIV/0!</v>
      </c>
      <c r="K539" s="763">
        <f t="shared" si="85"/>
        <v>0</v>
      </c>
      <c r="L539" s="765">
        <v>0</v>
      </c>
      <c r="M539" s="765">
        <v>0</v>
      </c>
      <c r="O539" s="765">
        <f t="shared" si="86"/>
        <v>0</v>
      </c>
      <c r="P539" s="765">
        <f t="shared" si="87"/>
        <v>0</v>
      </c>
      <c r="Q539" s="765">
        <f t="shared" si="88"/>
        <v>0</v>
      </c>
      <c r="R539" s="766" t="e">
        <f t="shared" si="89"/>
        <v>#DIV/0!</v>
      </c>
      <c r="S539" s="765">
        <f t="shared" si="90"/>
        <v>0</v>
      </c>
      <c r="T539" s="84"/>
      <c r="Z539" s="830">
        <f t="shared" si="81"/>
        <v>0</v>
      </c>
      <c r="AA539" s="831">
        <v>0</v>
      </c>
      <c r="AB539" s="84">
        <f t="shared" si="82"/>
        <v>0</v>
      </c>
      <c r="AE539" s="84">
        <f t="shared" si="83"/>
        <v>0</v>
      </c>
    </row>
    <row r="540" spans="1:31" hidden="1" x14ac:dyDescent="0.25">
      <c r="A540" s="84"/>
      <c r="B540" s="84"/>
      <c r="C540" s="84"/>
      <c r="D540" s="84"/>
      <c r="F540" s="782">
        <v>434</v>
      </c>
      <c r="G540" s="783" t="s">
        <v>4131</v>
      </c>
      <c r="H540" s="763">
        <v>0</v>
      </c>
      <c r="I540" s="763">
        <v>0</v>
      </c>
      <c r="J540" s="764" t="e">
        <f t="shared" si="84"/>
        <v>#DIV/0!</v>
      </c>
      <c r="K540" s="763">
        <f t="shared" si="85"/>
        <v>0</v>
      </c>
      <c r="L540" s="765">
        <v>0</v>
      </c>
      <c r="M540" s="765">
        <v>0</v>
      </c>
      <c r="O540" s="765">
        <f t="shared" si="86"/>
        <v>0</v>
      </c>
      <c r="P540" s="765">
        <f t="shared" si="87"/>
        <v>0</v>
      </c>
      <c r="Q540" s="765">
        <f t="shared" si="88"/>
        <v>0</v>
      </c>
      <c r="R540" s="766" t="e">
        <f t="shared" si="89"/>
        <v>#DIV/0!</v>
      </c>
      <c r="S540" s="765">
        <f t="shared" si="90"/>
        <v>0</v>
      </c>
      <c r="T540" s="84"/>
      <c r="Z540" s="830">
        <f t="shared" si="81"/>
        <v>0</v>
      </c>
      <c r="AA540" s="831">
        <v>0</v>
      </c>
      <c r="AB540" s="84">
        <f t="shared" si="82"/>
        <v>0</v>
      </c>
      <c r="AE540" s="84">
        <f t="shared" si="83"/>
        <v>0</v>
      </c>
    </row>
    <row r="541" spans="1:31" hidden="1" x14ac:dyDescent="0.25">
      <c r="A541" s="84"/>
      <c r="B541" s="84"/>
      <c r="C541" s="84"/>
      <c r="D541" s="84"/>
      <c r="F541" s="782">
        <v>435</v>
      </c>
      <c r="G541" s="783" t="s">
        <v>3796</v>
      </c>
      <c r="H541" s="763">
        <v>0</v>
      </c>
      <c r="I541" s="763">
        <v>0</v>
      </c>
      <c r="J541" s="764" t="e">
        <f t="shared" si="84"/>
        <v>#DIV/0!</v>
      </c>
      <c r="K541" s="763">
        <f t="shared" si="85"/>
        <v>0</v>
      </c>
      <c r="L541" s="765">
        <v>0</v>
      </c>
      <c r="M541" s="765">
        <v>0</v>
      </c>
      <c r="O541" s="765">
        <f t="shared" si="86"/>
        <v>0</v>
      </c>
      <c r="P541" s="765">
        <f t="shared" si="87"/>
        <v>0</v>
      </c>
      <c r="Q541" s="765">
        <f t="shared" si="88"/>
        <v>0</v>
      </c>
      <c r="R541" s="766" t="e">
        <f t="shared" si="89"/>
        <v>#DIV/0!</v>
      </c>
      <c r="S541" s="765">
        <f t="shared" si="90"/>
        <v>0</v>
      </c>
      <c r="T541" s="84"/>
      <c r="Z541" s="830">
        <f t="shared" si="81"/>
        <v>0</v>
      </c>
      <c r="AA541" s="831">
        <v>0</v>
      </c>
      <c r="AB541" s="84">
        <f t="shared" si="82"/>
        <v>0</v>
      </c>
      <c r="AE541" s="84">
        <f t="shared" si="83"/>
        <v>0</v>
      </c>
    </row>
    <row r="542" spans="1:31" hidden="1" x14ac:dyDescent="0.25">
      <c r="A542" s="84"/>
      <c r="B542" s="84"/>
      <c r="C542" s="84"/>
      <c r="D542" s="84"/>
      <c r="F542" s="782">
        <v>442</v>
      </c>
      <c r="G542" s="783" t="s">
        <v>4133</v>
      </c>
      <c r="H542" s="763">
        <v>0</v>
      </c>
      <c r="I542" s="763">
        <v>0</v>
      </c>
      <c r="J542" s="764" t="e">
        <f t="shared" si="84"/>
        <v>#DIV/0!</v>
      </c>
      <c r="K542" s="763">
        <f t="shared" si="85"/>
        <v>0</v>
      </c>
      <c r="L542" s="765">
        <v>0</v>
      </c>
      <c r="M542" s="765">
        <v>0</v>
      </c>
      <c r="O542" s="765">
        <f t="shared" si="86"/>
        <v>0</v>
      </c>
      <c r="P542" s="765">
        <f t="shared" si="87"/>
        <v>0</v>
      </c>
      <c r="Q542" s="765">
        <f t="shared" si="88"/>
        <v>0</v>
      </c>
      <c r="R542" s="766" t="e">
        <f t="shared" si="89"/>
        <v>#DIV/0!</v>
      </c>
      <c r="S542" s="765">
        <f t="shared" si="90"/>
        <v>0</v>
      </c>
      <c r="T542" s="84"/>
      <c r="Z542" s="830">
        <f t="shared" si="81"/>
        <v>0</v>
      </c>
      <c r="AA542" s="831">
        <v>0</v>
      </c>
      <c r="AB542" s="84">
        <f t="shared" si="82"/>
        <v>0</v>
      </c>
      <c r="AE542" s="84">
        <f t="shared" si="83"/>
        <v>0</v>
      </c>
    </row>
    <row r="543" spans="1:31" hidden="1" x14ac:dyDescent="0.25">
      <c r="A543" s="84"/>
      <c r="B543" s="84"/>
      <c r="C543" s="84"/>
      <c r="D543" s="84"/>
      <c r="F543" s="782">
        <v>443</v>
      </c>
      <c r="G543" s="783" t="s">
        <v>3801</v>
      </c>
      <c r="H543" s="763">
        <v>0</v>
      </c>
      <c r="I543" s="763">
        <v>0</v>
      </c>
      <c r="J543" s="764" t="e">
        <f t="shared" si="84"/>
        <v>#DIV/0!</v>
      </c>
      <c r="K543" s="763">
        <f t="shared" si="85"/>
        <v>0</v>
      </c>
      <c r="L543" s="765">
        <v>0</v>
      </c>
      <c r="M543" s="765">
        <v>0</v>
      </c>
      <c r="O543" s="765">
        <f t="shared" si="86"/>
        <v>0</v>
      </c>
      <c r="P543" s="765">
        <f t="shared" si="87"/>
        <v>0</v>
      </c>
      <c r="Q543" s="765">
        <f t="shared" si="88"/>
        <v>0</v>
      </c>
      <c r="R543" s="766" t="e">
        <f t="shared" si="89"/>
        <v>#DIV/0!</v>
      </c>
      <c r="S543" s="765">
        <f t="shared" si="90"/>
        <v>0</v>
      </c>
      <c r="T543" s="84"/>
      <c r="Z543" s="830">
        <f t="shared" si="81"/>
        <v>0</v>
      </c>
      <c r="AA543" s="831">
        <v>0</v>
      </c>
      <c r="AB543" s="84">
        <f t="shared" si="82"/>
        <v>0</v>
      </c>
      <c r="AE543" s="84">
        <f t="shared" si="83"/>
        <v>0</v>
      </c>
    </row>
    <row r="544" spans="1:31" x14ac:dyDescent="0.25">
      <c r="A544" s="84"/>
      <c r="B544" s="84"/>
      <c r="C544" s="84"/>
      <c r="D544" s="84"/>
      <c r="E544" s="760" t="s">
        <v>5207</v>
      </c>
      <c r="F544" s="782">
        <v>444</v>
      </c>
      <c r="G544" s="783" t="s">
        <v>3802</v>
      </c>
      <c r="H544" s="763">
        <v>75000</v>
      </c>
      <c r="I544" s="763">
        <f>57044.24+6369.4</f>
        <v>63413.64</v>
      </c>
      <c r="J544" s="764">
        <f t="shared" si="84"/>
        <v>0.84551520000000002</v>
      </c>
      <c r="K544" s="763">
        <f t="shared" si="85"/>
        <v>11586.36</v>
      </c>
      <c r="L544" s="765">
        <v>0</v>
      </c>
      <c r="M544" s="765">
        <v>0</v>
      </c>
      <c r="O544" s="765">
        <f t="shared" si="86"/>
        <v>0</v>
      </c>
      <c r="P544" s="765">
        <f t="shared" si="87"/>
        <v>75000</v>
      </c>
      <c r="Q544" s="765">
        <f t="shared" si="88"/>
        <v>63413.64</v>
      </c>
      <c r="R544" s="766">
        <f t="shared" si="89"/>
        <v>0.84551520000000002</v>
      </c>
      <c r="S544" s="765">
        <f t="shared" si="90"/>
        <v>11586.36</v>
      </c>
      <c r="T544" s="84"/>
      <c r="Z544" s="830">
        <f t="shared" si="81"/>
        <v>75000</v>
      </c>
      <c r="AA544" s="831">
        <v>150000</v>
      </c>
      <c r="AB544" s="84">
        <f t="shared" si="82"/>
        <v>-75000</v>
      </c>
      <c r="AE544" s="84">
        <f t="shared" si="83"/>
        <v>-75000</v>
      </c>
    </row>
    <row r="545" spans="1:31" ht="30" hidden="1" x14ac:dyDescent="0.25">
      <c r="A545" s="84"/>
      <c r="B545" s="84"/>
      <c r="C545" s="84"/>
      <c r="D545" s="84"/>
      <c r="F545" s="782">
        <v>451</v>
      </c>
      <c r="G545" s="874" t="s">
        <v>1691</v>
      </c>
      <c r="H545" s="763">
        <v>0</v>
      </c>
      <c r="I545" s="763">
        <v>0</v>
      </c>
      <c r="J545" s="764" t="e">
        <f t="shared" si="84"/>
        <v>#DIV/0!</v>
      </c>
      <c r="K545" s="763">
        <f t="shared" si="85"/>
        <v>0</v>
      </c>
      <c r="L545" s="765">
        <v>0</v>
      </c>
      <c r="M545" s="765">
        <v>0</v>
      </c>
      <c r="O545" s="765">
        <f t="shared" si="86"/>
        <v>0</v>
      </c>
      <c r="P545" s="765">
        <f t="shared" si="87"/>
        <v>0</v>
      </c>
      <c r="Q545" s="765">
        <f t="shared" si="88"/>
        <v>0</v>
      </c>
      <c r="R545" s="766" t="e">
        <f t="shared" si="89"/>
        <v>#DIV/0!</v>
      </c>
      <c r="S545" s="765">
        <f t="shared" si="90"/>
        <v>0</v>
      </c>
      <c r="T545" s="84"/>
      <c r="Z545" s="830">
        <f t="shared" si="81"/>
        <v>0</v>
      </c>
      <c r="AA545" s="831">
        <v>0</v>
      </c>
      <c r="AB545" s="84">
        <f t="shared" si="82"/>
        <v>0</v>
      </c>
      <c r="AE545" s="84">
        <f t="shared" si="83"/>
        <v>0</v>
      </c>
    </row>
    <row r="546" spans="1:31" ht="30" hidden="1" x14ac:dyDescent="0.25">
      <c r="A546" s="84"/>
      <c r="B546" s="84"/>
      <c r="C546" s="84"/>
      <c r="D546" s="84"/>
      <c r="F546" s="782">
        <v>4512</v>
      </c>
      <c r="G546" s="874" t="s">
        <v>1700</v>
      </c>
      <c r="H546" s="763">
        <v>0</v>
      </c>
      <c r="I546" s="763">
        <v>0</v>
      </c>
      <c r="J546" s="764" t="e">
        <f t="shared" si="84"/>
        <v>#DIV/0!</v>
      </c>
      <c r="K546" s="763">
        <f t="shared" si="85"/>
        <v>0</v>
      </c>
      <c r="L546" s="765">
        <v>0</v>
      </c>
      <c r="M546" s="765">
        <v>0</v>
      </c>
      <c r="O546" s="765">
        <f t="shared" si="86"/>
        <v>0</v>
      </c>
      <c r="P546" s="765">
        <f t="shared" si="87"/>
        <v>0</v>
      </c>
      <c r="Q546" s="765">
        <f t="shared" si="88"/>
        <v>0</v>
      </c>
      <c r="R546" s="766" t="e">
        <f t="shared" si="89"/>
        <v>#DIV/0!</v>
      </c>
      <c r="S546" s="765">
        <f t="shared" si="90"/>
        <v>0</v>
      </c>
      <c r="T546" s="84"/>
      <c r="Z546" s="830">
        <f t="shared" si="81"/>
        <v>0</v>
      </c>
      <c r="AA546" s="831">
        <v>0</v>
      </c>
      <c r="AB546" s="84">
        <f t="shared" si="82"/>
        <v>0</v>
      </c>
      <c r="AE546" s="84">
        <f t="shared" si="83"/>
        <v>0</v>
      </c>
    </row>
    <row r="547" spans="1:31" ht="30" hidden="1" x14ac:dyDescent="0.25">
      <c r="A547" s="84"/>
      <c r="B547" s="84"/>
      <c r="C547" s="84"/>
      <c r="D547" s="84"/>
      <c r="F547" s="782">
        <v>452</v>
      </c>
      <c r="G547" s="783" t="s">
        <v>4134</v>
      </c>
      <c r="H547" s="763">
        <v>0</v>
      </c>
      <c r="I547" s="763">
        <v>0</v>
      </c>
      <c r="J547" s="764" t="e">
        <f t="shared" si="84"/>
        <v>#DIV/0!</v>
      </c>
      <c r="K547" s="763">
        <f t="shared" si="85"/>
        <v>0</v>
      </c>
      <c r="L547" s="765">
        <v>0</v>
      </c>
      <c r="M547" s="765">
        <v>0</v>
      </c>
      <c r="O547" s="765">
        <f t="shared" si="86"/>
        <v>0</v>
      </c>
      <c r="P547" s="765">
        <f t="shared" si="87"/>
        <v>0</v>
      </c>
      <c r="Q547" s="765">
        <f t="shared" si="88"/>
        <v>0</v>
      </c>
      <c r="R547" s="766" t="e">
        <f t="shared" si="89"/>
        <v>#DIV/0!</v>
      </c>
      <c r="S547" s="765">
        <f t="shared" si="90"/>
        <v>0</v>
      </c>
      <c r="T547" s="84"/>
      <c r="Z547" s="830">
        <f t="shared" si="81"/>
        <v>0</v>
      </c>
      <c r="AA547" s="831">
        <v>0</v>
      </c>
      <c r="AB547" s="84">
        <f t="shared" si="82"/>
        <v>0</v>
      </c>
      <c r="AE547" s="84">
        <f t="shared" si="83"/>
        <v>0</v>
      </c>
    </row>
    <row r="548" spans="1:31" hidden="1" x14ac:dyDescent="0.25">
      <c r="A548" s="84"/>
      <c r="B548" s="84"/>
      <c r="C548" s="84"/>
      <c r="D548" s="84"/>
      <c r="F548" s="782">
        <v>453</v>
      </c>
      <c r="G548" s="783" t="s">
        <v>4135</v>
      </c>
      <c r="H548" s="763">
        <v>0</v>
      </c>
      <c r="I548" s="763">
        <v>0</v>
      </c>
      <c r="J548" s="764" t="e">
        <f t="shared" si="84"/>
        <v>#DIV/0!</v>
      </c>
      <c r="K548" s="763">
        <f t="shared" si="85"/>
        <v>0</v>
      </c>
      <c r="L548" s="765">
        <v>0</v>
      </c>
      <c r="M548" s="765">
        <v>0</v>
      </c>
      <c r="O548" s="765">
        <f t="shared" si="86"/>
        <v>0</v>
      </c>
      <c r="P548" s="765">
        <f t="shared" si="87"/>
        <v>0</v>
      </c>
      <c r="Q548" s="765">
        <f t="shared" si="88"/>
        <v>0</v>
      </c>
      <c r="R548" s="766" t="e">
        <f t="shared" si="89"/>
        <v>#DIV/0!</v>
      </c>
      <c r="S548" s="765">
        <f t="shared" si="90"/>
        <v>0</v>
      </c>
      <c r="T548" s="84"/>
      <c r="Z548" s="830">
        <f t="shared" si="81"/>
        <v>0</v>
      </c>
      <c r="AA548" s="831">
        <v>0</v>
      </c>
      <c r="AB548" s="84">
        <f t="shared" si="82"/>
        <v>0</v>
      </c>
      <c r="AE548" s="84">
        <f t="shared" si="83"/>
        <v>0</v>
      </c>
    </row>
    <row r="549" spans="1:31" hidden="1" x14ac:dyDescent="0.25">
      <c r="A549" s="84"/>
      <c r="B549" s="84"/>
      <c r="C549" s="84"/>
      <c r="D549" s="84"/>
      <c r="F549" s="782">
        <v>454</v>
      </c>
      <c r="G549" s="783" t="s">
        <v>3807</v>
      </c>
      <c r="H549" s="763">
        <v>0</v>
      </c>
      <c r="I549" s="763">
        <v>0</v>
      </c>
      <c r="J549" s="764" t="e">
        <f t="shared" si="84"/>
        <v>#DIV/0!</v>
      </c>
      <c r="K549" s="763">
        <f t="shared" si="85"/>
        <v>0</v>
      </c>
      <c r="L549" s="765">
        <v>0</v>
      </c>
      <c r="M549" s="765">
        <v>0</v>
      </c>
      <c r="O549" s="765">
        <f t="shared" si="86"/>
        <v>0</v>
      </c>
      <c r="P549" s="765">
        <f t="shared" si="87"/>
        <v>0</v>
      </c>
      <c r="Q549" s="765">
        <f t="shared" si="88"/>
        <v>0</v>
      </c>
      <c r="R549" s="766" t="e">
        <f t="shared" si="89"/>
        <v>#DIV/0!</v>
      </c>
      <c r="S549" s="765">
        <f t="shared" si="90"/>
        <v>0</v>
      </c>
      <c r="T549" s="84"/>
      <c r="Z549" s="830">
        <f t="shared" si="81"/>
        <v>0</v>
      </c>
      <c r="AA549" s="831">
        <v>0</v>
      </c>
      <c r="AB549" s="84">
        <f t="shared" si="82"/>
        <v>0</v>
      </c>
      <c r="AE549" s="84">
        <f t="shared" si="83"/>
        <v>0</v>
      </c>
    </row>
    <row r="550" spans="1:31" hidden="1" x14ac:dyDescent="0.25">
      <c r="A550" s="84"/>
      <c r="B550" s="84"/>
      <c r="C550" s="84"/>
      <c r="D550" s="84"/>
      <c r="F550" s="782">
        <v>461</v>
      </c>
      <c r="G550" s="783" t="s">
        <v>4116</v>
      </c>
      <c r="H550" s="763">
        <v>0</v>
      </c>
      <c r="I550" s="763">
        <v>0</v>
      </c>
      <c r="J550" s="764" t="e">
        <f t="shared" si="84"/>
        <v>#DIV/0!</v>
      </c>
      <c r="K550" s="763">
        <f t="shared" si="85"/>
        <v>0</v>
      </c>
      <c r="L550" s="765">
        <v>0</v>
      </c>
      <c r="M550" s="765">
        <v>0</v>
      </c>
      <c r="O550" s="765">
        <f t="shared" si="86"/>
        <v>0</v>
      </c>
      <c r="P550" s="765">
        <f t="shared" si="87"/>
        <v>0</v>
      </c>
      <c r="Q550" s="765">
        <f t="shared" si="88"/>
        <v>0</v>
      </c>
      <c r="R550" s="766" t="e">
        <f t="shared" si="89"/>
        <v>#DIV/0!</v>
      </c>
      <c r="S550" s="765">
        <f t="shared" si="90"/>
        <v>0</v>
      </c>
      <c r="T550" s="84"/>
      <c r="Z550" s="830">
        <f t="shared" si="81"/>
        <v>0</v>
      </c>
      <c r="AA550" s="831">
        <v>0</v>
      </c>
      <c r="AB550" s="84">
        <f t="shared" si="82"/>
        <v>0</v>
      </c>
      <c r="AE550" s="84">
        <f t="shared" si="83"/>
        <v>0</v>
      </c>
    </row>
    <row r="551" spans="1:31" ht="30" hidden="1" x14ac:dyDescent="0.25">
      <c r="A551" s="84"/>
      <c r="B551" s="84"/>
      <c r="C551" s="84"/>
      <c r="D551" s="84"/>
      <c r="F551" s="782">
        <v>462</v>
      </c>
      <c r="G551" s="783" t="s">
        <v>3810</v>
      </c>
      <c r="H551" s="763">
        <v>0</v>
      </c>
      <c r="I551" s="763">
        <v>0</v>
      </c>
      <c r="J551" s="764" t="e">
        <f t="shared" si="84"/>
        <v>#DIV/0!</v>
      </c>
      <c r="K551" s="763">
        <f t="shared" si="85"/>
        <v>0</v>
      </c>
      <c r="L551" s="765">
        <v>0</v>
      </c>
      <c r="M551" s="765">
        <v>0</v>
      </c>
      <c r="O551" s="765">
        <f t="shared" si="86"/>
        <v>0</v>
      </c>
      <c r="P551" s="765">
        <f t="shared" si="87"/>
        <v>0</v>
      </c>
      <c r="Q551" s="765">
        <f t="shared" si="88"/>
        <v>0</v>
      </c>
      <c r="R551" s="766" t="e">
        <f t="shared" si="89"/>
        <v>#DIV/0!</v>
      </c>
      <c r="S551" s="765">
        <f t="shared" si="90"/>
        <v>0</v>
      </c>
      <c r="T551" s="84"/>
      <c r="Z551" s="830">
        <f t="shared" si="81"/>
        <v>0</v>
      </c>
      <c r="AA551" s="831">
        <v>0</v>
      </c>
      <c r="AB551" s="84">
        <f t="shared" si="82"/>
        <v>0</v>
      </c>
      <c r="AE551" s="84">
        <f t="shared" si="83"/>
        <v>0</v>
      </c>
    </row>
    <row r="552" spans="1:31" hidden="1" x14ac:dyDescent="0.25">
      <c r="A552" s="84"/>
      <c r="B552" s="84"/>
      <c r="C552" s="84"/>
      <c r="D552" s="84"/>
      <c r="F552" s="782">
        <v>4631</v>
      </c>
      <c r="G552" s="783" t="s">
        <v>3811</v>
      </c>
      <c r="H552" s="763">
        <v>0</v>
      </c>
      <c r="I552" s="763">
        <v>0</v>
      </c>
      <c r="J552" s="764" t="e">
        <f t="shared" si="84"/>
        <v>#DIV/0!</v>
      </c>
      <c r="K552" s="763">
        <f t="shared" si="85"/>
        <v>0</v>
      </c>
      <c r="L552" s="765">
        <v>0</v>
      </c>
      <c r="M552" s="765">
        <v>0</v>
      </c>
      <c r="O552" s="765">
        <f t="shared" si="86"/>
        <v>0</v>
      </c>
      <c r="P552" s="765">
        <f t="shared" si="87"/>
        <v>0</v>
      </c>
      <c r="Q552" s="765">
        <f t="shared" si="88"/>
        <v>0</v>
      </c>
      <c r="R552" s="766" t="e">
        <f t="shared" si="89"/>
        <v>#DIV/0!</v>
      </c>
      <c r="S552" s="765">
        <f t="shared" si="90"/>
        <v>0</v>
      </c>
      <c r="T552" s="84"/>
      <c r="Z552" s="830">
        <f t="shared" si="81"/>
        <v>0</v>
      </c>
      <c r="AA552" s="831">
        <v>0</v>
      </c>
      <c r="AB552" s="84">
        <f t="shared" si="82"/>
        <v>0</v>
      </c>
      <c r="AE552" s="84">
        <f t="shared" si="83"/>
        <v>0</v>
      </c>
    </row>
    <row r="553" spans="1:31" hidden="1" x14ac:dyDescent="0.25">
      <c r="A553" s="84"/>
      <c r="B553" s="84"/>
      <c r="C553" s="84"/>
      <c r="D553" s="84"/>
      <c r="F553" s="782">
        <v>4632</v>
      </c>
      <c r="G553" s="783" t="s">
        <v>3812</v>
      </c>
      <c r="H553" s="763">
        <v>0</v>
      </c>
      <c r="I553" s="763">
        <v>0</v>
      </c>
      <c r="J553" s="764" t="e">
        <f t="shared" si="84"/>
        <v>#DIV/0!</v>
      </c>
      <c r="K553" s="763">
        <f t="shared" si="85"/>
        <v>0</v>
      </c>
      <c r="L553" s="765">
        <v>0</v>
      </c>
      <c r="M553" s="765">
        <v>0</v>
      </c>
      <c r="O553" s="765">
        <f t="shared" si="86"/>
        <v>0</v>
      </c>
      <c r="P553" s="765">
        <f t="shared" si="87"/>
        <v>0</v>
      </c>
      <c r="Q553" s="765">
        <f t="shared" si="88"/>
        <v>0</v>
      </c>
      <c r="R553" s="766" t="e">
        <f t="shared" si="89"/>
        <v>#DIV/0!</v>
      </c>
      <c r="S553" s="765">
        <f t="shared" si="90"/>
        <v>0</v>
      </c>
      <c r="T553" s="84"/>
      <c r="Z553" s="830">
        <f t="shared" si="81"/>
        <v>0</v>
      </c>
      <c r="AA553" s="831">
        <v>0</v>
      </c>
      <c r="AB553" s="84">
        <f t="shared" si="82"/>
        <v>0</v>
      </c>
      <c r="AE553" s="84">
        <f t="shared" si="83"/>
        <v>0</v>
      </c>
    </row>
    <row r="554" spans="1:31" ht="30" hidden="1" x14ac:dyDescent="0.25">
      <c r="A554" s="84"/>
      <c r="B554" s="84"/>
      <c r="C554" s="84"/>
      <c r="D554" s="84"/>
      <c r="F554" s="782">
        <v>464</v>
      </c>
      <c r="G554" s="783" t="s">
        <v>3813</v>
      </c>
      <c r="H554" s="763">
        <v>0</v>
      </c>
      <c r="I554" s="763">
        <v>0</v>
      </c>
      <c r="J554" s="764" t="e">
        <f t="shared" si="84"/>
        <v>#DIV/0!</v>
      </c>
      <c r="K554" s="763">
        <f t="shared" si="85"/>
        <v>0</v>
      </c>
      <c r="L554" s="765">
        <v>0</v>
      </c>
      <c r="M554" s="765">
        <v>0</v>
      </c>
      <c r="O554" s="765">
        <f t="shared" si="86"/>
        <v>0</v>
      </c>
      <c r="P554" s="765">
        <f t="shared" si="87"/>
        <v>0</v>
      </c>
      <c r="Q554" s="765">
        <f t="shared" si="88"/>
        <v>0</v>
      </c>
      <c r="R554" s="766" t="e">
        <f t="shared" si="89"/>
        <v>#DIV/0!</v>
      </c>
      <c r="S554" s="765">
        <f t="shared" si="90"/>
        <v>0</v>
      </c>
      <c r="T554" s="84"/>
      <c r="Z554" s="830">
        <f t="shared" si="81"/>
        <v>0</v>
      </c>
      <c r="AA554" s="831">
        <v>0</v>
      </c>
      <c r="AB554" s="84">
        <f t="shared" si="82"/>
        <v>0</v>
      </c>
      <c r="AE554" s="84">
        <f t="shared" si="83"/>
        <v>0</v>
      </c>
    </row>
    <row r="555" spans="1:31" x14ac:dyDescent="0.25">
      <c r="A555" s="84"/>
      <c r="B555" s="84"/>
      <c r="C555" s="84"/>
      <c r="D555" s="84"/>
      <c r="E555" s="760" t="s">
        <v>5208</v>
      </c>
      <c r="F555" s="782">
        <v>465</v>
      </c>
      <c r="G555" s="783" t="s">
        <v>4117</v>
      </c>
      <c r="H555" s="763">
        <v>4877795</v>
      </c>
      <c r="I555" s="763">
        <f>2959468.43+328517.73</f>
        <v>3287986.16</v>
      </c>
      <c r="J555" s="764">
        <f t="shared" si="84"/>
        <v>0.67407223140783901</v>
      </c>
      <c r="K555" s="763">
        <f t="shared" si="85"/>
        <v>1589808.8399999999</v>
      </c>
      <c r="L555" s="765">
        <v>0</v>
      </c>
      <c r="M555" s="765">
        <v>0</v>
      </c>
      <c r="O555" s="765">
        <f t="shared" si="86"/>
        <v>0</v>
      </c>
      <c r="P555" s="765">
        <f t="shared" si="87"/>
        <v>4877795</v>
      </c>
      <c r="Q555" s="765">
        <f t="shared" si="88"/>
        <v>3287986.16</v>
      </c>
      <c r="R555" s="766">
        <f t="shared" si="89"/>
        <v>0.67407223140783901</v>
      </c>
      <c r="S555" s="765">
        <f t="shared" si="90"/>
        <v>1589808.8399999999</v>
      </c>
      <c r="T555" s="84"/>
      <c r="V555" s="203">
        <v>800000</v>
      </c>
      <c r="X555" s="833">
        <v>179999.14</v>
      </c>
      <c r="Z555" s="830">
        <f t="shared" si="81"/>
        <v>4697795.8600000003</v>
      </c>
      <c r="AA555" s="831">
        <v>4267985.3</v>
      </c>
      <c r="AB555" s="84">
        <f t="shared" si="82"/>
        <v>429810.56000000052</v>
      </c>
      <c r="AE555" s="84">
        <f t="shared" si="83"/>
        <v>609809.70000000019</v>
      </c>
    </row>
    <row r="556" spans="1:31" hidden="1" x14ac:dyDescent="0.25">
      <c r="A556" s="84"/>
      <c r="B556" s="84"/>
      <c r="C556" s="84"/>
      <c r="D556" s="84"/>
      <c r="F556" s="782">
        <v>472</v>
      </c>
      <c r="G556" s="783" t="s">
        <v>3817</v>
      </c>
      <c r="H556" s="763">
        <v>0</v>
      </c>
      <c r="I556" s="763">
        <f>13798032.14+1070676.01</f>
        <v>14868708.15</v>
      </c>
      <c r="J556" s="764" t="e">
        <f t="shared" si="84"/>
        <v>#DIV/0!</v>
      </c>
      <c r="K556" s="763">
        <f t="shared" si="85"/>
        <v>-14868708.15</v>
      </c>
      <c r="L556" s="765">
        <v>0</v>
      </c>
      <c r="M556" s="765">
        <v>0</v>
      </c>
      <c r="O556" s="765">
        <f t="shared" si="86"/>
        <v>0</v>
      </c>
      <c r="P556" s="765">
        <f t="shared" si="87"/>
        <v>0</v>
      </c>
      <c r="Q556" s="765">
        <f t="shared" si="88"/>
        <v>14868708.15</v>
      </c>
      <c r="R556" s="766" t="e">
        <f t="shared" si="89"/>
        <v>#DIV/0!</v>
      </c>
      <c r="S556" s="765">
        <f t="shared" si="90"/>
        <v>-14868708.15</v>
      </c>
      <c r="T556" s="84"/>
      <c r="V556" s="203">
        <f>5570000+14868708.15+80000</f>
        <v>20518708.149999999</v>
      </c>
      <c r="W556" s="203">
        <f>V556-H556</f>
        <v>20518708.149999999</v>
      </c>
      <c r="Y556" s="834">
        <v>2777080.65</v>
      </c>
      <c r="Z556" s="830">
        <f t="shared" si="81"/>
        <v>2777080.65</v>
      </c>
      <c r="AA556" s="831">
        <v>17741627.5</v>
      </c>
      <c r="AB556" s="84">
        <f t="shared" si="82"/>
        <v>-14964546.85</v>
      </c>
      <c r="AE556" s="84">
        <f t="shared" si="83"/>
        <v>-17741627.5</v>
      </c>
    </row>
    <row r="557" spans="1:31" ht="15" hidden="1" customHeight="1" x14ac:dyDescent="0.25">
      <c r="A557" s="84"/>
      <c r="B557" s="84"/>
      <c r="C557" s="84"/>
      <c r="D557" s="84"/>
      <c r="F557" s="782">
        <v>481</v>
      </c>
      <c r="G557" s="783" t="s">
        <v>4136</v>
      </c>
      <c r="H557" s="763">
        <v>0</v>
      </c>
      <c r="I557" s="763">
        <v>0</v>
      </c>
      <c r="J557" s="764" t="e">
        <f t="shared" si="84"/>
        <v>#DIV/0!</v>
      </c>
      <c r="K557" s="763">
        <f t="shared" si="85"/>
        <v>0</v>
      </c>
      <c r="L557" s="765">
        <v>0</v>
      </c>
      <c r="M557" s="765">
        <v>0</v>
      </c>
      <c r="O557" s="765">
        <f t="shared" si="86"/>
        <v>0</v>
      </c>
      <c r="P557" s="765">
        <f t="shared" si="87"/>
        <v>0</v>
      </c>
      <c r="Q557" s="765">
        <f t="shared" si="88"/>
        <v>0</v>
      </c>
      <c r="R557" s="766" t="e">
        <f t="shared" si="89"/>
        <v>#DIV/0!</v>
      </c>
      <c r="S557" s="765">
        <f t="shared" si="90"/>
        <v>0</v>
      </c>
      <c r="T557" s="84"/>
      <c r="Z557" s="830">
        <f t="shared" si="81"/>
        <v>0</v>
      </c>
      <c r="AA557" s="831">
        <v>0</v>
      </c>
      <c r="AB557" s="84">
        <f t="shared" si="82"/>
        <v>0</v>
      </c>
      <c r="AE557" s="84">
        <f t="shared" si="83"/>
        <v>0</v>
      </c>
    </row>
    <row r="558" spans="1:31" x14ac:dyDescent="0.25">
      <c r="A558" s="84"/>
      <c r="B558" s="84"/>
      <c r="C558" s="84"/>
      <c r="D558" s="84"/>
      <c r="E558" s="760" t="s">
        <v>5209</v>
      </c>
      <c r="F558" s="782">
        <v>482</v>
      </c>
      <c r="G558" s="783" t="s">
        <v>4137</v>
      </c>
      <c r="H558" s="763">
        <v>353000</v>
      </c>
      <c r="I558" s="763">
        <f>238727.73+39300</f>
        <v>278027.73</v>
      </c>
      <c r="J558" s="764">
        <f t="shared" si="84"/>
        <v>0.78761396600566569</v>
      </c>
      <c r="K558" s="763">
        <f t="shared" si="85"/>
        <v>74972.270000000019</v>
      </c>
      <c r="L558" s="765">
        <v>0</v>
      </c>
      <c r="M558" s="765">
        <v>0</v>
      </c>
      <c r="O558" s="765">
        <f t="shared" si="86"/>
        <v>0</v>
      </c>
      <c r="P558" s="765">
        <f t="shared" si="87"/>
        <v>353000</v>
      </c>
      <c r="Q558" s="765">
        <f t="shared" si="88"/>
        <v>278027.73</v>
      </c>
      <c r="R558" s="766">
        <f t="shared" si="89"/>
        <v>0.78761396600566569</v>
      </c>
      <c r="S558" s="765">
        <f t="shared" si="90"/>
        <v>74972.270000000019</v>
      </c>
      <c r="T558" s="84"/>
      <c r="Y558" s="834">
        <v>100000</v>
      </c>
      <c r="Z558" s="830">
        <f t="shared" si="81"/>
        <v>453000</v>
      </c>
      <c r="AA558" s="831">
        <v>243000</v>
      </c>
      <c r="AB558" s="84">
        <f t="shared" si="82"/>
        <v>210000</v>
      </c>
      <c r="AE558" s="84">
        <f t="shared" si="83"/>
        <v>110000</v>
      </c>
    </row>
    <row r="559" spans="1:31" x14ac:dyDescent="0.25">
      <c r="A559" s="84"/>
      <c r="B559" s="84"/>
      <c r="C559" s="84"/>
      <c r="E559" s="760" t="s">
        <v>5210</v>
      </c>
      <c r="F559" s="782">
        <v>483</v>
      </c>
      <c r="G559" s="876" t="s">
        <v>4138</v>
      </c>
      <c r="H559" s="763">
        <v>400000</v>
      </c>
      <c r="I559" s="763">
        <v>734982.08</v>
      </c>
      <c r="J559" s="764">
        <f t="shared" si="84"/>
        <v>1.8374552</v>
      </c>
      <c r="K559" s="763">
        <f t="shared" si="85"/>
        <v>-334982.07999999996</v>
      </c>
      <c r="L559" s="765">
        <v>0</v>
      </c>
      <c r="M559" s="765">
        <v>0</v>
      </c>
      <c r="O559" s="765">
        <f t="shared" si="86"/>
        <v>0</v>
      </c>
      <c r="P559" s="765">
        <f t="shared" si="87"/>
        <v>400000</v>
      </c>
      <c r="Q559" s="765">
        <f t="shared" si="88"/>
        <v>734982.08</v>
      </c>
      <c r="R559" s="766">
        <f t="shared" si="89"/>
        <v>1.8374552</v>
      </c>
      <c r="S559" s="765">
        <f t="shared" si="90"/>
        <v>-334982.07999999996</v>
      </c>
      <c r="T559" s="84"/>
      <c r="Y559" s="834">
        <v>25000</v>
      </c>
      <c r="Z559" s="830">
        <f t="shared" si="81"/>
        <v>425000</v>
      </c>
      <c r="AA559" s="831">
        <v>759522</v>
      </c>
      <c r="AB559" s="84">
        <f t="shared" si="82"/>
        <v>-334522</v>
      </c>
      <c r="AE559" s="84">
        <f t="shared" si="83"/>
        <v>-359522</v>
      </c>
    </row>
    <row r="560" spans="1:31" ht="45" hidden="1" x14ac:dyDescent="0.25">
      <c r="A560" s="84"/>
      <c r="B560" s="84"/>
      <c r="C560" s="84"/>
      <c r="F560" s="782">
        <v>484</v>
      </c>
      <c r="G560" s="783" t="s">
        <v>4139</v>
      </c>
      <c r="H560" s="763">
        <v>0</v>
      </c>
      <c r="I560" s="763">
        <v>0</v>
      </c>
      <c r="J560" s="764" t="e">
        <f t="shared" si="84"/>
        <v>#DIV/0!</v>
      </c>
      <c r="K560" s="763">
        <f t="shared" si="85"/>
        <v>0</v>
      </c>
      <c r="L560" s="765">
        <v>0</v>
      </c>
      <c r="M560" s="765">
        <v>0</v>
      </c>
      <c r="O560" s="765">
        <f t="shared" si="86"/>
        <v>0</v>
      </c>
      <c r="P560" s="765">
        <f t="shared" si="87"/>
        <v>0</v>
      </c>
      <c r="Q560" s="765">
        <f t="shared" si="88"/>
        <v>0</v>
      </c>
      <c r="R560" s="766" t="e">
        <f t="shared" si="89"/>
        <v>#DIV/0!</v>
      </c>
      <c r="S560" s="765">
        <f t="shared" si="90"/>
        <v>0</v>
      </c>
      <c r="T560" s="84"/>
      <c r="Z560" s="830">
        <f t="shared" si="81"/>
        <v>0</v>
      </c>
      <c r="AA560" s="831">
        <v>0</v>
      </c>
      <c r="AB560" s="84">
        <f t="shared" si="82"/>
        <v>0</v>
      </c>
      <c r="AE560" s="84">
        <f t="shared" si="83"/>
        <v>0</v>
      </c>
    </row>
    <row r="561" spans="1:31" ht="30" hidden="1" x14ac:dyDescent="0.25">
      <c r="A561" s="84"/>
      <c r="B561" s="84"/>
      <c r="C561" s="84"/>
      <c r="F561" s="782">
        <v>485</v>
      </c>
      <c r="G561" s="783" t="s">
        <v>4140</v>
      </c>
      <c r="H561" s="763">
        <v>0</v>
      </c>
      <c r="I561" s="763">
        <v>0</v>
      </c>
      <c r="J561" s="764" t="e">
        <f t="shared" si="84"/>
        <v>#DIV/0!</v>
      </c>
      <c r="K561" s="763">
        <f t="shared" si="85"/>
        <v>0</v>
      </c>
      <c r="L561" s="765">
        <v>0</v>
      </c>
      <c r="M561" s="765">
        <v>0</v>
      </c>
      <c r="O561" s="765">
        <f t="shared" si="86"/>
        <v>0</v>
      </c>
      <c r="P561" s="765">
        <f t="shared" si="87"/>
        <v>0</v>
      </c>
      <c r="Q561" s="765">
        <f t="shared" si="88"/>
        <v>0</v>
      </c>
      <c r="R561" s="766" t="e">
        <f t="shared" si="89"/>
        <v>#DIV/0!</v>
      </c>
      <c r="S561" s="765">
        <f t="shared" si="90"/>
        <v>0</v>
      </c>
      <c r="T561" s="84"/>
      <c r="Z561" s="830">
        <f t="shared" si="81"/>
        <v>0</v>
      </c>
      <c r="AA561" s="831">
        <v>0</v>
      </c>
      <c r="AB561" s="84">
        <f t="shared" si="82"/>
        <v>0</v>
      </c>
      <c r="AE561" s="84">
        <f t="shared" si="83"/>
        <v>0</v>
      </c>
    </row>
    <row r="562" spans="1:31" ht="30" hidden="1" x14ac:dyDescent="0.25">
      <c r="A562" s="84"/>
      <c r="B562" s="84"/>
      <c r="C562" s="84"/>
      <c r="F562" s="782">
        <v>489</v>
      </c>
      <c r="G562" s="783" t="s">
        <v>3825</v>
      </c>
      <c r="H562" s="763">
        <v>0</v>
      </c>
      <c r="I562" s="763">
        <v>0</v>
      </c>
      <c r="J562" s="764" t="e">
        <f t="shared" si="84"/>
        <v>#DIV/0!</v>
      </c>
      <c r="K562" s="763">
        <f t="shared" si="85"/>
        <v>0</v>
      </c>
      <c r="L562" s="765">
        <v>0</v>
      </c>
      <c r="M562" s="765">
        <v>0</v>
      </c>
      <c r="O562" s="765">
        <f t="shared" si="86"/>
        <v>0</v>
      </c>
      <c r="P562" s="765">
        <f t="shared" si="87"/>
        <v>0</v>
      </c>
      <c r="Q562" s="765">
        <f t="shared" si="88"/>
        <v>0</v>
      </c>
      <c r="R562" s="766" t="e">
        <f t="shared" si="89"/>
        <v>#DIV/0!</v>
      </c>
      <c r="S562" s="765">
        <f t="shared" si="90"/>
        <v>0</v>
      </c>
      <c r="T562" s="84"/>
      <c r="Z562" s="830">
        <f t="shared" si="81"/>
        <v>0</v>
      </c>
      <c r="AA562" s="831">
        <v>0</v>
      </c>
      <c r="AB562" s="84">
        <f t="shared" si="82"/>
        <v>0</v>
      </c>
      <c r="AE562" s="84">
        <f t="shared" si="83"/>
        <v>0</v>
      </c>
    </row>
    <row r="563" spans="1:31" ht="30" hidden="1" x14ac:dyDescent="0.25">
      <c r="A563" s="84"/>
      <c r="B563" s="84"/>
      <c r="C563" s="84"/>
      <c r="F563" s="782">
        <v>494</v>
      </c>
      <c r="G563" s="783" t="s">
        <v>4118</v>
      </c>
      <c r="H563" s="763">
        <v>0</v>
      </c>
      <c r="I563" s="763">
        <v>0</v>
      </c>
      <c r="J563" s="764" t="e">
        <f t="shared" si="84"/>
        <v>#DIV/0!</v>
      </c>
      <c r="K563" s="763">
        <f t="shared" si="85"/>
        <v>0</v>
      </c>
      <c r="L563" s="765">
        <v>0</v>
      </c>
      <c r="M563" s="765">
        <v>0</v>
      </c>
      <c r="O563" s="765">
        <f t="shared" si="86"/>
        <v>0</v>
      </c>
      <c r="P563" s="765">
        <f t="shared" si="87"/>
        <v>0</v>
      </c>
      <c r="Q563" s="765">
        <f t="shared" si="88"/>
        <v>0</v>
      </c>
      <c r="R563" s="766" t="e">
        <f t="shared" si="89"/>
        <v>#DIV/0!</v>
      </c>
      <c r="S563" s="765">
        <f t="shared" si="90"/>
        <v>0</v>
      </c>
      <c r="T563" s="84"/>
      <c r="Z563" s="830">
        <f t="shared" si="81"/>
        <v>0</v>
      </c>
      <c r="AA563" s="831">
        <v>0</v>
      </c>
      <c r="AB563" s="84">
        <f t="shared" si="82"/>
        <v>0</v>
      </c>
      <c r="AE563" s="84">
        <f t="shared" si="83"/>
        <v>0</v>
      </c>
    </row>
    <row r="564" spans="1:31" ht="30" hidden="1" x14ac:dyDescent="0.25">
      <c r="A564" s="84"/>
      <c r="B564" s="84"/>
      <c r="C564" s="84"/>
      <c r="F564" s="782">
        <v>495</v>
      </c>
      <c r="G564" s="783" t="s">
        <v>4119</v>
      </c>
      <c r="H564" s="763">
        <v>0</v>
      </c>
      <c r="I564" s="763">
        <v>0</v>
      </c>
      <c r="J564" s="764" t="e">
        <f t="shared" si="84"/>
        <v>#DIV/0!</v>
      </c>
      <c r="K564" s="763">
        <f t="shared" si="85"/>
        <v>0</v>
      </c>
      <c r="L564" s="765">
        <v>0</v>
      </c>
      <c r="M564" s="765">
        <v>0</v>
      </c>
      <c r="O564" s="765">
        <f t="shared" si="86"/>
        <v>0</v>
      </c>
      <c r="P564" s="765">
        <f t="shared" si="87"/>
        <v>0</v>
      </c>
      <c r="Q564" s="765">
        <f t="shared" si="88"/>
        <v>0</v>
      </c>
      <c r="R564" s="766" t="e">
        <f t="shared" si="89"/>
        <v>#DIV/0!</v>
      </c>
      <c r="S564" s="765">
        <f t="shared" si="90"/>
        <v>0</v>
      </c>
      <c r="T564" s="84"/>
      <c r="Z564" s="830">
        <f t="shared" si="81"/>
        <v>0</v>
      </c>
      <c r="AA564" s="831">
        <v>0</v>
      </c>
      <c r="AB564" s="84">
        <f t="shared" si="82"/>
        <v>0</v>
      </c>
      <c r="AE564" s="84">
        <f t="shared" si="83"/>
        <v>0</v>
      </c>
    </row>
    <row r="565" spans="1:31" ht="45" hidden="1" x14ac:dyDescent="0.25">
      <c r="A565" s="84"/>
      <c r="B565" s="84"/>
      <c r="C565" s="84"/>
      <c r="F565" s="782">
        <v>496</v>
      </c>
      <c r="G565" s="783" t="s">
        <v>4120</v>
      </c>
      <c r="H565" s="763">
        <v>0</v>
      </c>
      <c r="I565" s="763">
        <v>0</v>
      </c>
      <c r="J565" s="764" t="e">
        <f t="shared" si="84"/>
        <v>#DIV/0!</v>
      </c>
      <c r="K565" s="763">
        <f t="shared" si="85"/>
        <v>0</v>
      </c>
      <c r="L565" s="765">
        <v>0</v>
      </c>
      <c r="M565" s="765">
        <v>0</v>
      </c>
      <c r="O565" s="765">
        <f t="shared" si="86"/>
        <v>0</v>
      </c>
      <c r="P565" s="765">
        <f t="shared" si="87"/>
        <v>0</v>
      </c>
      <c r="Q565" s="765">
        <f t="shared" si="88"/>
        <v>0</v>
      </c>
      <c r="R565" s="766" t="e">
        <f t="shared" si="89"/>
        <v>#DIV/0!</v>
      </c>
      <c r="S565" s="765">
        <f t="shared" si="90"/>
        <v>0</v>
      </c>
      <c r="T565" s="84"/>
      <c r="Z565" s="830">
        <f t="shared" si="81"/>
        <v>0</v>
      </c>
      <c r="AA565" s="831">
        <v>0</v>
      </c>
      <c r="AB565" s="84">
        <f t="shared" si="82"/>
        <v>0</v>
      </c>
      <c r="AE565" s="84">
        <f t="shared" si="83"/>
        <v>0</v>
      </c>
    </row>
    <row r="566" spans="1:31" hidden="1" x14ac:dyDescent="0.25">
      <c r="A566" s="84"/>
      <c r="B566" s="84"/>
      <c r="C566" s="84"/>
      <c r="D566" s="778">
        <v>112</v>
      </c>
      <c r="F566" s="782">
        <v>49911</v>
      </c>
      <c r="G566" s="783" t="s">
        <v>3827</v>
      </c>
      <c r="H566" s="763">
        <v>0</v>
      </c>
      <c r="I566" s="763">
        <v>0</v>
      </c>
      <c r="J566" s="764" t="e">
        <f t="shared" si="84"/>
        <v>#DIV/0!</v>
      </c>
      <c r="K566" s="763">
        <f t="shared" si="85"/>
        <v>0</v>
      </c>
      <c r="L566" s="765">
        <v>0</v>
      </c>
      <c r="M566" s="765">
        <v>0</v>
      </c>
      <c r="O566" s="765">
        <f t="shared" si="86"/>
        <v>0</v>
      </c>
      <c r="P566" s="765">
        <f t="shared" si="87"/>
        <v>0</v>
      </c>
      <c r="Q566" s="765">
        <f t="shared" si="88"/>
        <v>0</v>
      </c>
      <c r="R566" s="766" t="e">
        <f t="shared" si="89"/>
        <v>#DIV/0!</v>
      </c>
      <c r="S566" s="765">
        <f t="shared" si="90"/>
        <v>0</v>
      </c>
      <c r="T566" s="84"/>
      <c r="Z566" s="830">
        <f t="shared" si="81"/>
        <v>0</v>
      </c>
      <c r="AA566" s="831">
        <v>0</v>
      </c>
      <c r="AB566" s="84">
        <f t="shared" si="82"/>
        <v>0</v>
      </c>
      <c r="AE566" s="84">
        <f t="shared" si="83"/>
        <v>0</v>
      </c>
    </row>
    <row r="567" spans="1:31" hidden="1" x14ac:dyDescent="0.25">
      <c r="A567" s="84"/>
      <c r="B567" s="84"/>
      <c r="C567" s="84"/>
      <c r="D567" s="778">
        <v>112</v>
      </c>
      <c r="F567" s="759">
        <v>49912</v>
      </c>
      <c r="G567" s="879" t="s">
        <v>3829</v>
      </c>
      <c r="H567" s="763">
        <v>0</v>
      </c>
      <c r="I567" s="763">
        <v>0</v>
      </c>
      <c r="J567" s="764" t="e">
        <f t="shared" si="84"/>
        <v>#DIV/0!</v>
      </c>
      <c r="K567" s="763">
        <f t="shared" si="85"/>
        <v>0</v>
      </c>
      <c r="L567" s="765">
        <v>0</v>
      </c>
      <c r="M567" s="765">
        <v>0</v>
      </c>
      <c r="O567" s="765">
        <f t="shared" si="86"/>
        <v>0</v>
      </c>
      <c r="P567" s="765">
        <f t="shared" si="87"/>
        <v>0</v>
      </c>
      <c r="Q567" s="765">
        <f t="shared" si="88"/>
        <v>0</v>
      </c>
      <c r="R567" s="766" t="e">
        <f t="shared" si="89"/>
        <v>#DIV/0!</v>
      </c>
      <c r="S567" s="765">
        <f t="shared" si="90"/>
        <v>0</v>
      </c>
      <c r="T567" s="84"/>
      <c r="Z567" s="830">
        <f t="shared" si="81"/>
        <v>0</v>
      </c>
      <c r="AA567" s="831">
        <v>0</v>
      </c>
      <c r="AB567" s="84">
        <f t="shared" si="82"/>
        <v>0</v>
      </c>
      <c r="AE567" s="84">
        <f t="shared" si="83"/>
        <v>0</v>
      </c>
    </row>
    <row r="568" spans="1:31" x14ac:dyDescent="0.25">
      <c r="A568" s="84"/>
      <c r="B568" s="84"/>
      <c r="C568" s="84"/>
      <c r="E568" s="760" t="s">
        <v>5211</v>
      </c>
      <c r="F568" s="782">
        <v>511</v>
      </c>
      <c r="G568" s="876" t="s">
        <v>4141</v>
      </c>
      <c r="H568" s="763">
        <f>4254358+2055336</f>
        <v>6309694</v>
      </c>
      <c r="I568" s="763">
        <f>2930600+153360</f>
        <v>3083960</v>
      </c>
      <c r="J568" s="764">
        <f t="shared" si="84"/>
        <v>0.48876538228319788</v>
      </c>
      <c r="K568" s="763">
        <f t="shared" si="85"/>
        <v>3225734</v>
      </c>
      <c r="L568" s="765">
        <v>0</v>
      </c>
      <c r="M568" s="765">
        <v>0</v>
      </c>
      <c r="O568" s="765">
        <f t="shared" si="86"/>
        <v>0</v>
      </c>
      <c r="P568" s="765">
        <f t="shared" si="87"/>
        <v>6309694</v>
      </c>
      <c r="Q568" s="765">
        <f t="shared" si="88"/>
        <v>3083960</v>
      </c>
      <c r="R568" s="766">
        <f t="shared" si="89"/>
        <v>0.48876538228319788</v>
      </c>
      <c r="S568" s="765">
        <f t="shared" si="90"/>
        <v>3225734</v>
      </c>
      <c r="T568" s="84"/>
      <c r="V568" s="203">
        <f>1850000+3083960</f>
        <v>4933960</v>
      </c>
      <c r="W568" s="203">
        <f>V568-H568</f>
        <v>-1375734</v>
      </c>
      <c r="Y568" s="834">
        <v>1602000</v>
      </c>
      <c r="Z568" s="830">
        <f t="shared" si="81"/>
        <v>7911694</v>
      </c>
      <c r="AA568" s="831">
        <v>3332000</v>
      </c>
      <c r="AB568" s="84">
        <f t="shared" si="82"/>
        <v>4579694</v>
      </c>
      <c r="AE568" s="84">
        <f t="shared" si="83"/>
        <v>2977694</v>
      </c>
    </row>
    <row r="569" spans="1:31" x14ac:dyDescent="0.25">
      <c r="A569" s="84"/>
      <c r="B569" s="84"/>
      <c r="C569" s="84"/>
      <c r="E569" s="760" t="s">
        <v>5212</v>
      </c>
      <c r="F569" s="782">
        <v>512</v>
      </c>
      <c r="G569" s="876" t="s">
        <v>4142</v>
      </c>
      <c r="H569" s="763">
        <v>1835000</v>
      </c>
      <c r="I569" s="763">
        <f>2024246+605790</f>
        <v>2630036</v>
      </c>
      <c r="J569" s="764">
        <f t="shared" si="84"/>
        <v>1.4332621253405995</v>
      </c>
      <c r="K569" s="763">
        <f t="shared" si="85"/>
        <v>-795036</v>
      </c>
      <c r="L569" s="765">
        <v>0</v>
      </c>
      <c r="M569" s="765">
        <v>0</v>
      </c>
      <c r="O569" s="765">
        <f t="shared" si="86"/>
        <v>0</v>
      </c>
      <c r="P569" s="765">
        <f t="shared" si="87"/>
        <v>1835000</v>
      </c>
      <c r="Q569" s="765">
        <f t="shared" si="88"/>
        <v>2630036</v>
      </c>
      <c r="R569" s="766">
        <f t="shared" si="89"/>
        <v>1.4332621253405995</v>
      </c>
      <c r="S569" s="765">
        <f t="shared" si="90"/>
        <v>-795036</v>
      </c>
      <c r="T569" s="84"/>
      <c r="W569" s="203">
        <f>50000+596160</f>
        <v>646160</v>
      </c>
      <c r="Y569" s="834">
        <v>646160</v>
      </c>
      <c r="Z569" s="830">
        <f t="shared" si="81"/>
        <v>2481160</v>
      </c>
      <c r="AA569" s="831">
        <v>2585000</v>
      </c>
      <c r="AB569" s="84">
        <f t="shared" si="82"/>
        <v>-103840</v>
      </c>
      <c r="AE569" s="84">
        <f t="shared" si="83"/>
        <v>-750000</v>
      </c>
    </row>
    <row r="570" spans="1:31" hidden="1" x14ac:dyDescent="0.25">
      <c r="A570" s="84"/>
      <c r="B570" s="84"/>
      <c r="C570" s="84"/>
      <c r="F570" s="782">
        <v>513</v>
      </c>
      <c r="G570" s="876" t="s">
        <v>4143</v>
      </c>
      <c r="H570" s="763">
        <v>0</v>
      </c>
      <c r="I570" s="763">
        <v>0</v>
      </c>
      <c r="J570" s="764" t="e">
        <f t="shared" si="84"/>
        <v>#DIV/0!</v>
      </c>
      <c r="K570" s="763">
        <f t="shared" si="85"/>
        <v>0</v>
      </c>
      <c r="L570" s="765">
        <v>0</v>
      </c>
      <c r="M570" s="765">
        <v>0</v>
      </c>
      <c r="O570" s="765">
        <f t="shared" si="86"/>
        <v>0</v>
      </c>
      <c r="P570" s="765">
        <f t="shared" si="87"/>
        <v>0</v>
      </c>
      <c r="Q570" s="765">
        <f t="shared" si="88"/>
        <v>0</v>
      </c>
      <c r="R570" s="766" t="e">
        <f t="shared" si="89"/>
        <v>#DIV/0!</v>
      </c>
      <c r="S570" s="765">
        <f t="shared" si="90"/>
        <v>0</v>
      </c>
      <c r="T570" s="84"/>
      <c r="Z570" s="830">
        <f t="shared" si="81"/>
        <v>0</v>
      </c>
      <c r="AA570" s="831">
        <v>0</v>
      </c>
      <c r="AB570" s="84">
        <f t="shared" si="82"/>
        <v>0</v>
      </c>
      <c r="AE570" s="84">
        <f t="shared" si="83"/>
        <v>0</v>
      </c>
    </row>
    <row r="571" spans="1:31" hidden="1" x14ac:dyDescent="0.25">
      <c r="A571" s="84"/>
      <c r="B571" s="84"/>
      <c r="C571" s="84"/>
      <c r="F571" s="782">
        <v>514</v>
      </c>
      <c r="G571" s="783" t="s">
        <v>4144</v>
      </c>
      <c r="H571" s="763">
        <v>0</v>
      </c>
      <c r="I571" s="763">
        <v>0</v>
      </c>
      <c r="J571" s="764" t="e">
        <f t="shared" si="84"/>
        <v>#DIV/0!</v>
      </c>
      <c r="K571" s="763">
        <f t="shared" si="85"/>
        <v>0</v>
      </c>
      <c r="L571" s="765">
        <v>0</v>
      </c>
      <c r="M571" s="765">
        <v>0</v>
      </c>
      <c r="O571" s="765">
        <f t="shared" si="86"/>
        <v>0</v>
      </c>
      <c r="P571" s="765">
        <f t="shared" si="87"/>
        <v>0</v>
      </c>
      <c r="Q571" s="765">
        <f t="shared" si="88"/>
        <v>0</v>
      </c>
      <c r="R571" s="766" t="e">
        <f t="shared" si="89"/>
        <v>#DIV/0!</v>
      </c>
      <c r="S571" s="765">
        <f t="shared" si="90"/>
        <v>0</v>
      </c>
      <c r="T571" s="84"/>
      <c r="Z571" s="830">
        <f t="shared" si="81"/>
        <v>0</v>
      </c>
      <c r="AA571" s="831">
        <v>0</v>
      </c>
      <c r="AB571" s="84">
        <f t="shared" si="82"/>
        <v>0</v>
      </c>
      <c r="AE571" s="84">
        <f t="shared" si="83"/>
        <v>0</v>
      </c>
    </row>
    <row r="572" spans="1:31" x14ac:dyDescent="0.25">
      <c r="A572" s="84"/>
      <c r="B572" s="84"/>
      <c r="C572" s="84"/>
      <c r="E572" s="760" t="s">
        <v>5213</v>
      </c>
      <c r="F572" s="782">
        <v>515</v>
      </c>
      <c r="G572" s="783" t="s">
        <v>3836</v>
      </c>
      <c r="H572" s="763">
        <v>150000</v>
      </c>
      <c r="I572" s="763">
        <v>408000</v>
      </c>
      <c r="J572" s="764">
        <f t="shared" si="84"/>
        <v>2.72</v>
      </c>
      <c r="K572" s="763">
        <f t="shared" si="85"/>
        <v>-258000</v>
      </c>
      <c r="L572" s="765">
        <v>28427</v>
      </c>
      <c r="M572" s="765">
        <v>0</v>
      </c>
      <c r="O572" s="765">
        <f t="shared" si="86"/>
        <v>28427</v>
      </c>
      <c r="P572" s="765">
        <f t="shared" si="87"/>
        <v>178427</v>
      </c>
      <c r="Q572" s="765">
        <f t="shared" si="88"/>
        <v>408000</v>
      </c>
      <c r="R572" s="766">
        <f t="shared" si="89"/>
        <v>2.2866494420687453</v>
      </c>
      <c r="S572" s="765">
        <f t="shared" si="90"/>
        <v>-229573</v>
      </c>
      <c r="T572" s="84"/>
      <c r="X572" s="833">
        <v>150000</v>
      </c>
      <c r="Z572" s="830">
        <f t="shared" si="81"/>
        <v>0</v>
      </c>
      <c r="AA572" s="831">
        <v>558000</v>
      </c>
      <c r="AB572" s="84">
        <f t="shared" si="82"/>
        <v>-558000</v>
      </c>
      <c r="AE572" s="84">
        <f t="shared" si="83"/>
        <v>-408000</v>
      </c>
    </row>
    <row r="573" spans="1:31" hidden="1" x14ac:dyDescent="0.25">
      <c r="A573" s="84"/>
      <c r="B573" s="84"/>
      <c r="C573" s="84"/>
      <c r="F573" s="782">
        <v>521</v>
      </c>
      <c r="G573" s="783" t="s">
        <v>4145</v>
      </c>
      <c r="H573" s="763">
        <v>0</v>
      </c>
      <c r="I573" s="763">
        <v>0</v>
      </c>
      <c r="J573" s="764" t="e">
        <f t="shared" si="84"/>
        <v>#DIV/0!</v>
      </c>
      <c r="K573" s="763">
        <f t="shared" si="85"/>
        <v>0</v>
      </c>
      <c r="L573" s="765">
        <v>0</v>
      </c>
      <c r="M573" s="765">
        <v>0</v>
      </c>
      <c r="O573" s="765">
        <f t="shared" si="86"/>
        <v>0</v>
      </c>
      <c r="P573" s="765">
        <f t="shared" si="87"/>
        <v>0</v>
      </c>
      <c r="Q573" s="765">
        <f t="shared" si="88"/>
        <v>0</v>
      </c>
      <c r="R573" s="766" t="e">
        <f t="shared" si="89"/>
        <v>#DIV/0!</v>
      </c>
      <c r="S573" s="765">
        <f t="shared" si="90"/>
        <v>0</v>
      </c>
      <c r="T573" s="84"/>
      <c r="Z573" s="830">
        <f t="shared" si="81"/>
        <v>0</v>
      </c>
      <c r="AA573" s="831">
        <v>0</v>
      </c>
      <c r="AB573" s="84">
        <f t="shared" si="82"/>
        <v>0</v>
      </c>
      <c r="AE573" s="84">
        <f t="shared" si="83"/>
        <v>0</v>
      </c>
    </row>
    <row r="574" spans="1:31" hidden="1" x14ac:dyDescent="0.25">
      <c r="A574" s="84"/>
      <c r="B574" s="84"/>
      <c r="C574" s="84"/>
      <c r="F574" s="782">
        <v>522</v>
      </c>
      <c r="G574" s="783" t="s">
        <v>4146</v>
      </c>
      <c r="H574" s="763">
        <v>0</v>
      </c>
      <c r="I574" s="763">
        <v>0</v>
      </c>
      <c r="J574" s="764" t="e">
        <f t="shared" si="84"/>
        <v>#DIV/0!</v>
      </c>
      <c r="K574" s="763">
        <f t="shared" si="85"/>
        <v>0</v>
      </c>
      <c r="L574" s="765">
        <v>0</v>
      </c>
      <c r="M574" s="765">
        <v>0</v>
      </c>
      <c r="O574" s="765">
        <f t="shared" si="86"/>
        <v>0</v>
      </c>
      <c r="P574" s="765">
        <f t="shared" si="87"/>
        <v>0</v>
      </c>
      <c r="Q574" s="765">
        <f t="shared" si="88"/>
        <v>0</v>
      </c>
      <c r="R574" s="766" t="e">
        <f t="shared" si="89"/>
        <v>#DIV/0!</v>
      </c>
      <c r="S574" s="765">
        <f t="shared" si="90"/>
        <v>0</v>
      </c>
      <c r="T574" s="84"/>
      <c r="Z574" s="830">
        <f t="shared" si="81"/>
        <v>0</v>
      </c>
      <c r="AA574" s="831">
        <v>0</v>
      </c>
      <c r="AB574" s="84">
        <f t="shared" si="82"/>
        <v>0</v>
      </c>
      <c r="AE574" s="84">
        <f t="shared" si="83"/>
        <v>0</v>
      </c>
    </row>
    <row r="575" spans="1:31" hidden="1" x14ac:dyDescent="0.25">
      <c r="A575" s="84"/>
      <c r="B575" s="84"/>
      <c r="C575" s="84"/>
      <c r="D575" s="84"/>
      <c r="F575" s="782">
        <v>523</v>
      </c>
      <c r="G575" s="783" t="s">
        <v>3841</v>
      </c>
      <c r="H575" s="763">
        <v>0</v>
      </c>
      <c r="I575" s="763">
        <v>0</v>
      </c>
      <c r="J575" s="764" t="e">
        <f t="shared" si="84"/>
        <v>#DIV/0!</v>
      </c>
      <c r="K575" s="763">
        <f t="shared" si="85"/>
        <v>0</v>
      </c>
      <c r="L575" s="765">
        <v>0</v>
      </c>
      <c r="M575" s="765">
        <v>0</v>
      </c>
      <c r="O575" s="765">
        <f t="shared" si="86"/>
        <v>0</v>
      </c>
      <c r="P575" s="765">
        <f t="shared" si="87"/>
        <v>0</v>
      </c>
      <c r="Q575" s="765">
        <f t="shared" si="88"/>
        <v>0</v>
      </c>
      <c r="R575" s="766" t="e">
        <f t="shared" si="89"/>
        <v>#DIV/0!</v>
      </c>
      <c r="S575" s="765">
        <f t="shared" si="90"/>
        <v>0</v>
      </c>
      <c r="T575" s="84"/>
      <c r="Z575" s="830">
        <f t="shared" si="81"/>
        <v>0</v>
      </c>
      <c r="AA575" s="831">
        <v>0</v>
      </c>
      <c r="AB575" s="84">
        <f t="shared" si="82"/>
        <v>0</v>
      </c>
      <c r="AE575" s="84">
        <f t="shared" si="83"/>
        <v>0</v>
      </c>
    </row>
    <row r="576" spans="1:31" hidden="1" x14ac:dyDescent="0.25">
      <c r="A576" s="84"/>
      <c r="B576" s="84"/>
      <c r="C576" s="84"/>
      <c r="D576" s="84"/>
      <c r="F576" s="782">
        <v>531</v>
      </c>
      <c r="G576" s="783" t="s">
        <v>4122</v>
      </c>
      <c r="H576" s="763">
        <v>0</v>
      </c>
      <c r="I576" s="763">
        <v>0</v>
      </c>
      <c r="J576" s="764" t="e">
        <f t="shared" si="84"/>
        <v>#DIV/0!</v>
      </c>
      <c r="K576" s="763">
        <f t="shared" si="85"/>
        <v>0</v>
      </c>
      <c r="L576" s="765">
        <v>0</v>
      </c>
      <c r="M576" s="765">
        <v>0</v>
      </c>
      <c r="O576" s="765">
        <f t="shared" si="86"/>
        <v>0</v>
      </c>
      <c r="P576" s="765">
        <f t="shared" si="87"/>
        <v>0</v>
      </c>
      <c r="Q576" s="765">
        <f t="shared" si="88"/>
        <v>0</v>
      </c>
      <c r="R576" s="766" t="e">
        <f t="shared" si="89"/>
        <v>#DIV/0!</v>
      </c>
      <c r="S576" s="765">
        <f t="shared" si="90"/>
        <v>0</v>
      </c>
      <c r="T576" s="84"/>
      <c r="Z576" s="830">
        <f t="shared" si="81"/>
        <v>0</v>
      </c>
      <c r="AA576" s="831">
        <v>0</v>
      </c>
      <c r="AB576" s="84">
        <f t="shared" si="82"/>
        <v>0</v>
      </c>
      <c r="AE576" s="84">
        <f t="shared" si="83"/>
        <v>0</v>
      </c>
    </row>
    <row r="577" spans="1:31" ht="15.75" thickBot="1" x14ac:dyDescent="0.3">
      <c r="A577" s="84"/>
      <c r="B577" s="84"/>
      <c r="C577" s="84"/>
      <c r="D577" s="84"/>
      <c r="E577" s="760" t="s">
        <v>5214</v>
      </c>
      <c r="F577" s="782">
        <v>541</v>
      </c>
      <c r="G577" s="783" t="s">
        <v>4147</v>
      </c>
      <c r="H577" s="763">
        <v>900000</v>
      </c>
      <c r="I577" s="763">
        <v>1916382.21</v>
      </c>
      <c r="J577" s="764">
        <f t="shared" si="84"/>
        <v>2.1293135666666667</v>
      </c>
      <c r="K577" s="763">
        <f t="shared" si="85"/>
        <v>-1016382.21</v>
      </c>
      <c r="L577" s="765">
        <v>0</v>
      </c>
      <c r="M577" s="765">
        <v>0</v>
      </c>
      <c r="O577" s="765">
        <f t="shared" si="86"/>
        <v>0</v>
      </c>
      <c r="P577" s="765">
        <f t="shared" si="87"/>
        <v>900000</v>
      </c>
      <c r="Q577" s="765">
        <f t="shared" si="88"/>
        <v>1916382.21</v>
      </c>
      <c r="R577" s="766">
        <f t="shared" si="89"/>
        <v>2.1293135666666667</v>
      </c>
      <c r="S577" s="765">
        <f t="shared" si="90"/>
        <v>-1016382.21</v>
      </c>
      <c r="T577" s="84"/>
      <c r="V577" s="203">
        <v>150000</v>
      </c>
      <c r="W577" s="203">
        <f>H577-I577-V577</f>
        <v>-1166382.21</v>
      </c>
      <c r="X577" s="833">
        <v>878565.23</v>
      </c>
      <c r="Z577" s="830">
        <f t="shared" si="81"/>
        <v>21434.770000000019</v>
      </c>
      <c r="AA577" s="831">
        <v>2944947.44</v>
      </c>
      <c r="AB577" s="84">
        <f t="shared" si="82"/>
        <v>-2923512.67</v>
      </c>
      <c r="AE577" s="84">
        <f t="shared" si="83"/>
        <v>-2044947.44</v>
      </c>
    </row>
    <row r="578" spans="1:31" ht="15.75" hidden="1" thickBot="1" x14ac:dyDescent="0.3">
      <c r="A578" s="84"/>
      <c r="B578" s="84"/>
      <c r="C578" s="84"/>
      <c r="D578" s="84"/>
      <c r="F578" s="782">
        <v>542</v>
      </c>
      <c r="G578" s="783" t="s">
        <v>4148</v>
      </c>
      <c r="S578" s="765">
        <f>SUM(H578:L578)</f>
        <v>0</v>
      </c>
      <c r="T578" s="84"/>
      <c r="AB578" s="84">
        <f t="shared" si="82"/>
        <v>0</v>
      </c>
    </row>
    <row r="579" spans="1:31" ht="15.75" hidden="1" thickBot="1" x14ac:dyDescent="0.3">
      <c r="A579" s="84"/>
      <c r="B579" s="84"/>
      <c r="C579" s="84"/>
      <c r="D579" s="84"/>
      <c r="F579" s="782">
        <v>543</v>
      </c>
      <c r="G579" s="783" t="s">
        <v>3846</v>
      </c>
      <c r="S579" s="765">
        <f>SUM(H579:L579)</f>
        <v>0</v>
      </c>
      <c r="T579" s="84"/>
      <c r="AB579" s="84">
        <f t="shared" si="82"/>
        <v>0</v>
      </c>
    </row>
    <row r="580" spans="1:31" ht="45.75" hidden="1" thickBot="1" x14ac:dyDescent="0.3">
      <c r="A580" s="84"/>
      <c r="B580" s="84"/>
      <c r="C580" s="84"/>
      <c r="D580" s="84"/>
      <c r="F580" s="782">
        <v>551</v>
      </c>
      <c r="G580" s="783" t="s">
        <v>4123</v>
      </c>
      <c r="S580" s="765">
        <f>SUM(H580:L580)</f>
        <v>0</v>
      </c>
      <c r="T580" s="84"/>
      <c r="AB580" s="84">
        <f t="shared" si="82"/>
        <v>0</v>
      </c>
    </row>
    <row r="581" spans="1:31" ht="15.75" hidden="1" thickBot="1" x14ac:dyDescent="0.3">
      <c r="A581" s="84"/>
      <c r="B581" s="84"/>
      <c r="C581" s="84"/>
      <c r="D581" s="84"/>
      <c r="F581" s="785">
        <v>611</v>
      </c>
      <c r="G581" s="876" t="s">
        <v>3852</v>
      </c>
      <c r="S581" s="765">
        <f>SUM(H581:L581)</f>
        <v>0</v>
      </c>
      <c r="T581" s="84"/>
      <c r="AB581" s="84">
        <f t="shared" si="82"/>
        <v>0</v>
      </c>
    </row>
    <row r="582" spans="1:31" ht="15.75" hidden="1" thickBot="1" x14ac:dyDescent="0.3">
      <c r="A582" s="84"/>
      <c r="B582" s="84"/>
      <c r="C582" s="84"/>
      <c r="D582" s="84"/>
      <c r="F582" s="785">
        <v>620</v>
      </c>
      <c r="G582" s="876" t="s">
        <v>89</v>
      </c>
      <c r="S582" s="765">
        <f>SUM(H582:L582)</f>
        <v>0</v>
      </c>
      <c r="T582" s="84"/>
      <c r="AB582" s="84">
        <f t="shared" si="82"/>
        <v>0</v>
      </c>
    </row>
    <row r="583" spans="1:31" x14ac:dyDescent="0.25">
      <c r="A583" s="84"/>
      <c r="B583" s="84"/>
      <c r="C583" s="84"/>
      <c r="D583" s="84"/>
      <c r="E583" s="784"/>
      <c r="F583" s="785"/>
      <c r="G583" s="786" t="s">
        <v>4192</v>
      </c>
      <c r="H583" s="787"/>
      <c r="I583" s="787"/>
      <c r="J583" s="788"/>
      <c r="K583" s="787"/>
      <c r="L583" s="789"/>
      <c r="M583" s="789"/>
      <c r="N583" s="790"/>
      <c r="O583" s="789"/>
      <c r="P583" s="789"/>
      <c r="Q583" s="789"/>
      <c r="R583" s="790"/>
      <c r="S583" s="877"/>
      <c r="T583" s="84"/>
      <c r="AB583" s="84">
        <f t="shared" si="82"/>
        <v>0</v>
      </c>
    </row>
    <row r="584" spans="1:31" x14ac:dyDescent="0.25">
      <c r="A584" s="84"/>
      <c r="B584" s="84"/>
      <c r="C584" s="84"/>
      <c r="D584" s="84"/>
      <c r="E584" s="791"/>
      <c r="F584" s="792" t="s">
        <v>235</v>
      </c>
      <c r="G584" s="793" t="s">
        <v>236</v>
      </c>
      <c r="H584" s="794">
        <f>SUM(H523:H577)</f>
        <v>111328522</v>
      </c>
      <c r="I584" s="794">
        <f>SUM(I523:I577)</f>
        <v>100879816.38000001</v>
      </c>
      <c r="J584" s="795">
        <f t="shared" ref="J584:J600" si="91">I584/H584</f>
        <v>0.90614529473408445</v>
      </c>
      <c r="K584" s="794">
        <f>SUM(K523:K577)</f>
        <v>10448705.619999994</v>
      </c>
      <c r="L584" s="796">
        <v>0</v>
      </c>
      <c r="M584" s="796">
        <v>0</v>
      </c>
      <c r="N584" s="797"/>
      <c r="O584" s="796">
        <f>L584-M584</f>
        <v>0</v>
      </c>
      <c r="P584" s="796">
        <f>H584+L584</f>
        <v>111328522</v>
      </c>
      <c r="Q584" s="796">
        <f>M584+I584</f>
        <v>100879816.38000001</v>
      </c>
      <c r="R584" s="797">
        <f>Q584/P584</f>
        <v>0.90614529473408445</v>
      </c>
      <c r="S584" s="765">
        <f>P584-Q584</f>
        <v>10448705.61999999</v>
      </c>
      <c r="T584" s="84"/>
      <c r="AB584" s="84">
        <f t="shared" si="82"/>
        <v>0</v>
      </c>
    </row>
    <row r="585" spans="1:31" ht="15" hidden="1" customHeight="1" x14ac:dyDescent="0.25">
      <c r="A585" s="84"/>
      <c r="B585" s="84"/>
      <c r="C585" s="84"/>
      <c r="D585" s="84"/>
      <c r="F585" s="792" t="s">
        <v>237</v>
      </c>
      <c r="G585" s="793" t="s">
        <v>238</v>
      </c>
      <c r="J585" s="764" t="e">
        <f t="shared" si="91"/>
        <v>#DIV/0!</v>
      </c>
      <c r="R585" s="766" t="e">
        <f t="shared" ref="R585:R600" si="92">Q585/P585</f>
        <v>#DIV/0!</v>
      </c>
      <c r="S585" s="796" t="e">
        <f t="shared" ref="S585:S599" si="93">SUM(H585:L585)</f>
        <v>#DIV/0!</v>
      </c>
      <c r="T585" s="84"/>
      <c r="AB585" s="84">
        <f t="shared" si="82"/>
        <v>0</v>
      </c>
    </row>
    <row r="586" spans="1:31" ht="15" hidden="1" customHeight="1" x14ac:dyDescent="0.25">
      <c r="A586" s="84"/>
      <c r="B586" s="84"/>
      <c r="C586" s="84"/>
      <c r="D586" s="84"/>
      <c r="F586" s="792" t="s">
        <v>239</v>
      </c>
      <c r="G586" s="793" t="s">
        <v>240</v>
      </c>
      <c r="J586" s="764" t="e">
        <f t="shared" si="91"/>
        <v>#DIV/0!</v>
      </c>
      <c r="R586" s="766" t="e">
        <f t="shared" si="92"/>
        <v>#DIV/0!</v>
      </c>
      <c r="S586" s="796" t="e">
        <f t="shared" si="93"/>
        <v>#DIV/0!</v>
      </c>
      <c r="T586" s="84"/>
      <c r="AB586" s="84">
        <f t="shared" si="82"/>
        <v>0</v>
      </c>
    </row>
    <row r="587" spans="1:31" ht="15" hidden="1" customHeight="1" x14ac:dyDescent="0.25">
      <c r="A587" s="84"/>
      <c r="B587" s="84"/>
      <c r="C587" s="84"/>
      <c r="D587" s="84"/>
      <c r="F587" s="792" t="s">
        <v>241</v>
      </c>
      <c r="G587" s="793" t="s">
        <v>242</v>
      </c>
      <c r="J587" s="764" t="e">
        <f t="shared" si="91"/>
        <v>#DIV/0!</v>
      </c>
      <c r="R587" s="766" t="e">
        <f t="shared" si="92"/>
        <v>#DIV/0!</v>
      </c>
      <c r="S587" s="796" t="e">
        <f t="shared" si="93"/>
        <v>#DIV/0!</v>
      </c>
      <c r="T587" s="84"/>
      <c r="AB587" s="84">
        <f t="shared" ref="AB587:AB650" si="94">Z587-AA587</f>
        <v>0</v>
      </c>
    </row>
    <row r="588" spans="1:31" ht="15" hidden="1" customHeight="1" x14ac:dyDescent="0.25">
      <c r="A588" s="84"/>
      <c r="B588" s="84"/>
      <c r="C588" s="84"/>
      <c r="D588" s="84"/>
      <c r="F588" s="792" t="s">
        <v>243</v>
      </c>
      <c r="G588" s="793" t="s">
        <v>244</v>
      </c>
      <c r="J588" s="764" t="e">
        <f t="shared" si="91"/>
        <v>#DIV/0!</v>
      </c>
      <c r="R588" s="766" t="e">
        <f t="shared" si="92"/>
        <v>#DIV/0!</v>
      </c>
      <c r="S588" s="796" t="e">
        <f t="shared" si="93"/>
        <v>#DIV/0!</v>
      </c>
      <c r="T588" s="84"/>
      <c r="AB588" s="84">
        <f t="shared" si="94"/>
        <v>0</v>
      </c>
    </row>
    <row r="589" spans="1:31" ht="15" hidden="1" customHeight="1" x14ac:dyDescent="0.25">
      <c r="A589" s="84"/>
      <c r="B589" s="84"/>
      <c r="C589" s="84"/>
      <c r="D589" s="84"/>
      <c r="F589" s="792" t="s">
        <v>245</v>
      </c>
      <c r="G589" s="793" t="s">
        <v>246</v>
      </c>
      <c r="J589" s="764" t="e">
        <f t="shared" si="91"/>
        <v>#DIV/0!</v>
      </c>
      <c r="R589" s="766" t="e">
        <f t="shared" si="92"/>
        <v>#DIV/0!</v>
      </c>
      <c r="S589" s="796" t="e">
        <f t="shared" si="93"/>
        <v>#DIV/0!</v>
      </c>
      <c r="T589" s="84"/>
      <c r="AB589" s="84">
        <f t="shared" si="94"/>
        <v>0</v>
      </c>
    </row>
    <row r="590" spans="1:31" ht="15" hidden="1" customHeight="1" x14ac:dyDescent="0.25">
      <c r="A590" s="84"/>
      <c r="B590" s="84"/>
      <c r="C590" s="84"/>
      <c r="D590" s="84"/>
      <c r="F590" s="792" t="s">
        <v>247</v>
      </c>
      <c r="G590" s="793" t="s">
        <v>4745</v>
      </c>
      <c r="J590" s="764" t="e">
        <f t="shared" si="91"/>
        <v>#DIV/0!</v>
      </c>
      <c r="R590" s="766" t="e">
        <f t="shared" si="92"/>
        <v>#DIV/0!</v>
      </c>
      <c r="S590" s="796" t="e">
        <f t="shared" si="93"/>
        <v>#DIV/0!</v>
      </c>
      <c r="T590" s="84"/>
      <c r="AB590" s="84">
        <f t="shared" si="94"/>
        <v>0</v>
      </c>
    </row>
    <row r="591" spans="1:31" ht="30" hidden="1" customHeight="1" x14ac:dyDescent="0.25">
      <c r="A591" s="84"/>
      <c r="B591" s="84"/>
      <c r="C591" s="84"/>
      <c r="D591" s="84"/>
      <c r="F591" s="792" t="s">
        <v>248</v>
      </c>
      <c r="G591" s="793" t="s">
        <v>4744</v>
      </c>
      <c r="J591" s="764" t="e">
        <f t="shared" si="91"/>
        <v>#DIV/0!</v>
      </c>
      <c r="R591" s="766" t="e">
        <f t="shared" si="92"/>
        <v>#DIV/0!</v>
      </c>
      <c r="S591" s="796" t="e">
        <f t="shared" si="93"/>
        <v>#DIV/0!</v>
      </c>
      <c r="T591" s="84"/>
      <c r="AB591" s="84">
        <f t="shared" si="94"/>
        <v>0</v>
      </c>
    </row>
    <row r="592" spans="1:31" ht="15" customHeight="1" thickBot="1" x14ac:dyDescent="0.3">
      <c r="A592" s="84"/>
      <c r="B592" s="84"/>
      <c r="C592" s="84"/>
      <c r="D592" s="84"/>
      <c r="F592" s="792" t="s">
        <v>249</v>
      </c>
      <c r="G592" s="793" t="s">
        <v>58</v>
      </c>
      <c r="H592" s="763">
        <v>0</v>
      </c>
      <c r="J592" s="764" t="e">
        <f t="shared" si="91"/>
        <v>#DIV/0!</v>
      </c>
      <c r="L592" s="765">
        <v>28427</v>
      </c>
      <c r="P592" s="765">
        <f>SUM(H592+L592)</f>
        <v>28427</v>
      </c>
      <c r="R592" s="766">
        <f t="shared" si="92"/>
        <v>0</v>
      </c>
      <c r="S592" s="796" t="e">
        <f t="shared" si="93"/>
        <v>#DIV/0!</v>
      </c>
      <c r="T592" s="84"/>
      <c r="AB592" s="84">
        <f t="shared" si="94"/>
        <v>0</v>
      </c>
    </row>
    <row r="593" spans="1:28" ht="15" hidden="1" customHeight="1" x14ac:dyDescent="0.25">
      <c r="A593" s="84"/>
      <c r="B593" s="84"/>
      <c r="C593" s="84"/>
      <c r="D593" s="84"/>
      <c r="F593" s="792" t="s">
        <v>250</v>
      </c>
      <c r="G593" s="793" t="s">
        <v>251</v>
      </c>
      <c r="J593" s="764" t="e">
        <f t="shared" si="91"/>
        <v>#DIV/0!</v>
      </c>
      <c r="R593" s="766" t="e">
        <f t="shared" si="92"/>
        <v>#DIV/0!</v>
      </c>
      <c r="S593" s="796" t="e">
        <f t="shared" si="93"/>
        <v>#DIV/0!</v>
      </c>
      <c r="T593" s="84"/>
      <c r="AB593" s="84">
        <f t="shared" si="94"/>
        <v>0</v>
      </c>
    </row>
    <row r="594" spans="1:28" ht="15" hidden="1" customHeight="1" x14ac:dyDescent="0.25">
      <c r="A594" s="84"/>
      <c r="B594" s="84"/>
      <c r="C594" s="84"/>
      <c r="D594" s="84"/>
      <c r="F594" s="792" t="s">
        <v>252</v>
      </c>
      <c r="G594" s="793" t="s">
        <v>253</v>
      </c>
      <c r="J594" s="764" t="e">
        <f t="shared" si="91"/>
        <v>#DIV/0!</v>
      </c>
      <c r="R594" s="766" t="e">
        <f t="shared" si="92"/>
        <v>#DIV/0!</v>
      </c>
      <c r="S594" s="796" t="e">
        <f t="shared" si="93"/>
        <v>#DIV/0!</v>
      </c>
      <c r="T594" s="84"/>
      <c r="AB594" s="84">
        <f t="shared" si="94"/>
        <v>0</v>
      </c>
    </row>
    <row r="595" spans="1:28" ht="30" hidden="1" customHeight="1" x14ac:dyDescent="0.25">
      <c r="A595" s="84"/>
      <c r="B595" s="84"/>
      <c r="C595" s="84"/>
      <c r="D595" s="84"/>
      <c r="F595" s="792" t="s">
        <v>254</v>
      </c>
      <c r="G595" s="793" t="s">
        <v>255</v>
      </c>
      <c r="J595" s="764" t="e">
        <f t="shared" si="91"/>
        <v>#DIV/0!</v>
      </c>
      <c r="R595" s="766" t="e">
        <f t="shared" si="92"/>
        <v>#DIV/0!</v>
      </c>
      <c r="S595" s="796" t="e">
        <f t="shared" si="93"/>
        <v>#DIV/0!</v>
      </c>
      <c r="T595" s="84"/>
      <c r="AB595" s="84">
        <f t="shared" si="94"/>
        <v>0</v>
      </c>
    </row>
    <row r="596" spans="1:28" ht="15" hidden="1" customHeight="1" x14ac:dyDescent="0.25">
      <c r="A596" s="84"/>
      <c r="B596" s="84"/>
      <c r="C596" s="84"/>
      <c r="D596" s="84"/>
      <c r="F596" s="792" t="s">
        <v>256</v>
      </c>
      <c r="G596" s="793" t="s">
        <v>257</v>
      </c>
      <c r="H596" s="763">
        <v>0</v>
      </c>
      <c r="I596" s="763">
        <v>0</v>
      </c>
      <c r="K596" s="763">
        <v>0</v>
      </c>
      <c r="L596" s="765">
        <f>SUM(L523:L577)</f>
        <v>28427</v>
      </c>
      <c r="M596" s="765">
        <f>SUM(M523:M577)</f>
        <v>0</v>
      </c>
      <c r="N596" s="766">
        <f>M596/L596</f>
        <v>0</v>
      </c>
      <c r="O596" s="765">
        <f>L596-M596</f>
        <v>28427</v>
      </c>
      <c r="P596" s="765">
        <f>H596+L596</f>
        <v>28427</v>
      </c>
      <c r="Q596" s="765">
        <f>M596+I596</f>
        <v>0</v>
      </c>
      <c r="R596" s="766">
        <f t="shared" si="92"/>
        <v>0</v>
      </c>
      <c r="S596" s="796">
        <f>P596-Q596</f>
        <v>28427</v>
      </c>
      <c r="T596" s="84"/>
      <c r="AB596" s="84">
        <f t="shared" si="94"/>
        <v>0</v>
      </c>
    </row>
    <row r="597" spans="1:28" ht="30" hidden="1" customHeight="1" x14ac:dyDescent="0.25">
      <c r="A597" s="84"/>
      <c r="B597" s="84"/>
      <c r="C597" s="84"/>
      <c r="D597" s="84"/>
      <c r="F597" s="792" t="s">
        <v>258</v>
      </c>
      <c r="G597" s="793" t="s">
        <v>259</v>
      </c>
      <c r="J597" s="764" t="e">
        <f t="shared" si="91"/>
        <v>#DIV/0!</v>
      </c>
      <c r="R597" s="766" t="e">
        <f t="shared" si="92"/>
        <v>#DIV/0!</v>
      </c>
      <c r="S597" s="796" t="e">
        <f t="shared" si="93"/>
        <v>#DIV/0!</v>
      </c>
      <c r="T597" s="84"/>
      <c r="AB597" s="84">
        <f t="shared" si="94"/>
        <v>0</v>
      </c>
    </row>
    <row r="598" spans="1:28" ht="30" hidden="1" customHeight="1" x14ac:dyDescent="0.25">
      <c r="A598" s="84"/>
      <c r="B598" s="84"/>
      <c r="C598" s="84"/>
      <c r="D598" s="84"/>
      <c r="F598" s="792" t="s">
        <v>260</v>
      </c>
      <c r="G598" s="793" t="s">
        <v>261</v>
      </c>
      <c r="J598" s="764" t="e">
        <f t="shared" si="91"/>
        <v>#DIV/0!</v>
      </c>
      <c r="R598" s="766" t="e">
        <f t="shared" si="92"/>
        <v>#DIV/0!</v>
      </c>
      <c r="S598" s="796" t="e">
        <f t="shared" si="93"/>
        <v>#DIV/0!</v>
      </c>
      <c r="T598" s="84"/>
      <c r="AB598" s="84">
        <f t="shared" si="94"/>
        <v>0</v>
      </c>
    </row>
    <row r="599" spans="1:28" ht="15.75" hidden="1" customHeight="1" thickBot="1" x14ac:dyDescent="0.3">
      <c r="A599" s="84"/>
      <c r="B599" s="84"/>
      <c r="C599" s="84"/>
      <c r="D599" s="84"/>
      <c r="F599" s="792" t="s">
        <v>262</v>
      </c>
      <c r="G599" s="793" t="s">
        <v>263</v>
      </c>
      <c r="H599" s="794"/>
      <c r="I599" s="794"/>
      <c r="J599" s="795" t="e">
        <f t="shared" si="91"/>
        <v>#DIV/0!</v>
      </c>
      <c r="K599" s="794"/>
      <c r="L599" s="796"/>
      <c r="M599" s="796"/>
      <c r="N599" s="797"/>
      <c r="O599" s="796"/>
      <c r="P599" s="796"/>
      <c r="Q599" s="796"/>
      <c r="R599" s="797" t="e">
        <f t="shared" si="92"/>
        <v>#DIV/0!</v>
      </c>
      <c r="S599" s="796" t="e">
        <f t="shared" si="93"/>
        <v>#DIV/0!</v>
      </c>
      <c r="T599" s="84"/>
      <c r="AB599" s="84">
        <f t="shared" si="94"/>
        <v>0</v>
      </c>
    </row>
    <row r="600" spans="1:28" ht="15.75" thickBot="1" x14ac:dyDescent="0.3">
      <c r="A600" s="84"/>
      <c r="B600" s="84"/>
      <c r="C600" s="84"/>
      <c r="D600" s="84"/>
      <c r="G600" s="798" t="s">
        <v>4175</v>
      </c>
      <c r="H600" s="799">
        <f>SUM(H584:H596)</f>
        <v>111328522</v>
      </c>
      <c r="I600" s="799">
        <f t="shared" ref="I600:Q600" si="95">SUM(I584:I599)</f>
        <v>100879816.38000001</v>
      </c>
      <c r="J600" s="800">
        <f t="shared" si="91"/>
        <v>0.90614529473408445</v>
      </c>
      <c r="K600" s="799">
        <f t="shared" si="95"/>
        <v>10448705.619999994</v>
      </c>
      <c r="L600" s="801">
        <f>SUM(L584:L592)</f>
        <v>28427</v>
      </c>
      <c r="M600" s="801">
        <f t="shared" si="95"/>
        <v>0</v>
      </c>
      <c r="N600" s="802"/>
      <c r="O600" s="801">
        <f>SUM(O584:O599)</f>
        <v>28427</v>
      </c>
      <c r="P600" s="801">
        <f>SUM(P584:P592)</f>
        <v>111356949</v>
      </c>
      <c r="Q600" s="801">
        <f t="shared" si="95"/>
        <v>100879816.38000001</v>
      </c>
      <c r="R600" s="802">
        <f t="shared" si="92"/>
        <v>0.90591397560649767</v>
      </c>
      <c r="S600" s="801">
        <f>S584+S596</f>
        <v>10477132.61999999</v>
      </c>
      <c r="T600" s="84"/>
      <c r="AB600" s="84">
        <f t="shared" si="94"/>
        <v>0</v>
      </c>
    </row>
    <row r="601" spans="1:28" ht="28.5" collapsed="1" x14ac:dyDescent="0.25">
      <c r="A601" s="84"/>
      <c r="B601" s="84"/>
      <c r="C601" s="84"/>
      <c r="D601" s="84"/>
      <c r="E601" s="784"/>
      <c r="F601" s="785"/>
      <c r="G601" s="803" t="s">
        <v>4155</v>
      </c>
      <c r="H601" s="804"/>
      <c r="I601" s="805"/>
      <c r="J601" s="806"/>
      <c r="K601" s="805"/>
      <c r="L601" s="807"/>
      <c r="M601" s="808"/>
      <c r="N601" s="809"/>
      <c r="O601" s="808"/>
      <c r="P601" s="808"/>
      <c r="Q601" s="808"/>
      <c r="R601" s="809"/>
      <c r="S601" s="878"/>
      <c r="T601" s="84"/>
      <c r="AB601" s="84">
        <f t="shared" si="94"/>
        <v>0</v>
      </c>
    </row>
    <row r="602" spans="1:28" x14ac:dyDescent="0.25">
      <c r="A602" s="84"/>
      <c r="B602" s="84"/>
      <c r="C602" s="84"/>
      <c r="D602" s="84"/>
      <c r="E602" s="791"/>
      <c r="F602" s="792" t="s">
        <v>235</v>
      </c>
      <c r="G602" s="793" t="s">
        <v>236</v>
      </c>
      <c r="H602" s="794">
        <f>H584</f>
        <v>111328522</v>
      </c>
      <c r="I602" s="794">
        <f>SUM(I523:I582)</f>
        <v>100879816.38000001</v>
      </c>
      <c r="J602" s="795">
        <f>I602/H602</f>
        <v>0.90614529473408445</v>
      </c>
      <c r="K602" s="794">
        <f>SUM(K523:K582)</f>
        <v>10448705.619999994</v>
      </c>
      <c r="L602" s="796">
        <f>L584</f>
        <v>0</v>
      </c>
      <c r="M602" s="796">
        <f>M584</f>
        <v>0</v>
      </c>
      <c r="N602" s="797">
        <f>N584</f>
        <v>0</v>
      </c>
      <c r="O602" s="796">
        <f>O584</f>
        <v>0</v>
      </c>
      <c r="P602" s="796">
        <f>P584</f>
        <v>111328522</v>
      </c>
      <c r="Q602" s="796">
        <f>SUM(Q523:Q582)</f>
        <v>100879816.38000001</v>
      </c>
      <c r="R602" s="797">
        <f>Q602/P602</f>
        <v>0.90614529473408445</v>
      </c>
      <c r="S602" s="796">
        <f>SUM(S523:S582)</f>
        <v>10477132.619999994</v>
      </c>
      <c r="T602" s="84"/>
      <c r="AB602" s="84">
        <f t="shared" si="94"/>
        <v>0</v>
      </c>
    </row>
    <row r="603" spans="1:28" hidden="1" x14ac:dyDescent="0.25">
      <c r="A603" s="84"/>
      <c r="B603" s="84"/>
      <c r="C603" s="84"/>
      <c r="D603" s="84"/>
      <c r="F603" s="792" t="s">
        <v>237</v>
      </c>
      <c r="G603" s="793" t="s">
        <v>238</v>
      </c>
      <c r="S603" s="796">
        <f t="shared" ref="S603:S617" si="96">SUM(H603:L603)</f>
        <v>0</v>
      </c>
      <c r="T603" s="84"/>
      <c r="AB603" s="84">
        <f t="shared" si="94"/>
        <v>0</v>
      </c>
    </row>
    <row r="604" spans="1:28" hidden="1" x14ac:dyDescent="0.25">
      <c r="A604" s="84"/>
      <c r="B604" s="84"/>
      <c r="C604" s="84"/>
      <c r="D604" s="84"/>
      <c r="F604" s="792" t="s">
        <v>239</v>
      </c>
      <c r="G604" s="793" t="s">
        <v>240</v>
      </c>
      <c r="S604" s="796">
        <f t="shared" si="96"/>
        <v>0</v>
      </c>
      <c r="T604" s="84"/>
      <c r="AB604" s="84">
        <f t="shared" si="94"/>
        <v>0</v>
      </c>
    </row>
    <row r="605" spans="1:28" hidden="1" x14ac:dyDescent="0.25">
      <c r="A605" s="84"/>
      <c r="B605" s="84"/>
      <c r="C605" s="84"/>
      <c r="D605" s="84"/>
      <c r="F605" s="792" t="s">
        <v>241</v>
      </c>
      <c r="G605" s="793" t="s">
        <v>242</v>
      </c>
      <c r="S605" s="796">
        <f t="shared" si="96"/>
        <v>0</v>
      </c>
      <c r="T605" s="84"/>
      <c r="AB605" s="84">
        <f t="shared" si="94"/>
        <v>0</v>
      </c>
    </row>
    <row r="606" spans="1:28" hidden="1" x14ac:dyDescent="0.25">
      <c r="A606" s="84"/>
      <c r="B606" s="84"/>
      <c r="C606" s="84"/>
      <c r="D606" s="84"/>
      <c r="F606" s="792" t="s">
        <v>243</v>
      </c>
      <c r="G606" s="793" t="s">
        <v>244</v>
      </c>
      <c r="S606" s="796">
        <f t="shared" si="96"/>
        <v>0</v>
      </c>
      <c r="T606" s="84"/>
      <c r="AB606" s="84">
        <f t="shared" si="94"/>
        <v>0</v>
      </c>
    </row>
    <row r="607" spans="1:28" hidden="1" x14ac:dyDescent="0.25">
      <c r="A607" s="84"/>
      <c r="B607" s="84"/>
      <c r="F607" s="792" t="s">
        <v>245</v>
      </c>
      <c r="G607" s="793" t="s">
        <v>246</v>
      </c>
      <c r="S607" s="796">
        <f t="shared" si="96"/>
        <v>0</v>
      </c>
      <c r="T607" s="84"/>
      <c r="AB607" s="84">
        <f t="shared" si="94"/>
        <v>0</v>
      </c>
    </row>
    <row r="608" spans="1:28" hidden="1" x14ac:dyDescent="0.25">
      <c r="A608" s="84"/>
      <c r="B608" s="84"/>
      <c r="F608" s="792" t="s">
        <v>247</v>
      </c>
      <c r="G608" s="793" t="s">
        <v>4745</v>
      </c>
      <c r="S608" s="796">
        <f t="shared" si="96"/>
        <v>0</v>
      </c>
      <c r="T608" s="84"/>
      <c r="AB608" s="84">
        <f t="shared" si="94"/>
        <v>0</v>
      </c>
    </row>
    <row r="609" spans="1:28" ht="30" hidden="1" x14ac:dyDescent="0.25">
      <c r="A609" s="84"/>
      <c r="B609" s="84"/>
      <c r="F609" s="792" t="s">
        <v>248</v>
      </c>
      <c r="G609" s="793" t="s">
        <v>4744</v>
      </c>
      <c r="S609" s="796">
        <f t="shared" si="96"/>
        <v>0</v>
      </c>
      <c r="T609" s="84"/>
      <c r="AB609" s="84">
        <f t="shared" si="94"/>
        <v>0</v>
      </c>
    </row>
    <row r="610" spans="1:28" ht="15.75" thickBot="1" x14ac:dyDescent="0.3">
      <c r="A610" s="84"/>
      <c r="B610" s="84"/>
      <c r="F610" s="792" t="s">
        <v>249</v>
      </c>
      <c r="G610" s="793" t="s">
        <v>58</v>
      </c>
      <c r="H610" s="763">
        <f>H592</f>
        <v>0</v>
      </c>
      <c r="L610" s="765">
        <f>L592</f>
        <v>28427</v>
      </c>
      <c r="M610" s="765">
        <f>M592</f>
        <v>0</v>
      </c>
      <c r="N610" s="766">
        <f>N592</f>
        <v>0</v>
      </c>
      <c r="O610" s="765">
        <f>O592</f>
        <v>0</v>
      </c>
      <c r="P610" s="765">
        <f>P592</f>
        <v>28427</v>
      </c>
      <c r="S610" s="796">
        <f t="shared" si="96"/>
        <v>28427</v>
      </c>
      <c r="T610" s="84"/>
      <c r="AB610" s="84">
        <f t="shared" si="94"/>
        <v>0</v>
      </c>
    </row>
    <row r="611" spans="1:28" hidden="1" x14ac:dyDescent="0.25">
      <c r="A611" s="84"/>
      <c r="B611" s="84"/>
      <c r="F611" s="792" t="s">
        <v>250</v>
      </c>
      <c r="G611" s="793" t="s">
        <v>251</v>
      </c>
      <c r="S611" s="796">
        <f t="shared" si="96"/>
        <v>0</v>
      </c>
      <c r="T611" s="84"/>
      <c r="AB611" s="84">
        <f t="shared" si="94"/>
        <v>0</v>
      </c>
    </row>
    <row r="612" spans="1:28" hidden="1" x14ac:dyDescent="0.25">
      <c r="A612" s="84"/>
      <c r="B612" s="84"/>
      <c r="F612" s="792" t="s">
        <v>252</v>
      </c>
      <c r="G612" s="793" t="s">
        <v>253</v>
      </c>
      <c r="S612" s="796">
        <f t="shared" si="96"/>
        <v>0</v>
      </c>
      <c r="T612" s="84"/>
      <c r="AB612" s="84">
        <f t="shared" si="94"/>
        <v>0</v>
      </c>
    </row>
    <row r="613" spans="1:28" ht="30" hidden="1" x14ac:dyDescent="0.25">
      <c r="A613" s="84"/>
      <c r="B613" s="84"/>
      <c r="F613" s="792" t="s">
        <v>254</v>
      </c>
      <c r="G613" s="793" t="s">
        <v>255</v>
      </c>
      <c r="S613" s="796">
        <f t="shared" si="96"/>
        <v>0</v>
      </c>
      <c r="T613" s="84"/>
      <c r="AB613" s="84">
        <f t="shared" si="94"/>
        <v>0</v>
      </c>
    </row>
    <row r="614" spans="1:28" hidden="1" x14ac:dyDescent="0.25">
      <c r="A614" s="84"/>
      <c r="B614" s="84"/>
      <c r="F614" s="792" t="s">
        <v>256</v>
      </c>
      <c r="G614" s="793" t="s">
        <v>257</v>
      </c>
      <c r="H614" s="763">
        <f>H596</f>
        <v>0</v>
      </c>
      <c r="L614" s="765">
        <f>L596</f>
        <v>28427</v>
      </c>
      <c r="M614" s="765">
        <f>M596</f>
        <v>0</v>
      </c>
      <c r="N614" s="766">
        <f>N596</f>
        <v>0</v>
      </c>
      <c r="O614" s="765">
        <f>O596</f>
        <v>28427</v>
      </c>
      <c r="P614" s="765">
        <f>P596</f>
        <v>28427</v>
      </c>
      <c r="S614" s="796">
        <f t="shared" si="96"/>
        <v>28427</v>
      </c>
      <c r="T614" s="84"/>
      <c r="AB614" s="84">
        <f t="shared" si="94"/>
        <v>0</v>
      </c>
    </row>
    <row r="615" spans="1:28" ht="30" hidden="1" x14ac:dyDescent="0.25">
      <c r="A615" s="84"/>
      <c r="B615" s="84"/>
      <c r="F615" s="792" t="s">
        <v>258</v>
      </c>
      <c r="G615" s="793" t="s">
        <v>259</v>
      </c>
      <c r="S615" s="796">
        <f t="shared" si="96"/>
        <v>0</v>
      </c>
      <c r="T615" s="84"/>
      <c r="AB615" s="84">
        <f t="shared" si="94"/>
        <v>0</v>
      </c>
    </row>
    <row r="616" spans="1:28" ht="30" hidden="1" x14ac:dyDescent="0.25">
      <c r="A616" s="84"/>
      <c r="B616" s="84"/>
      <c r="F616" s="792" t="s">
        <v>260</v>
      </c>
      <c r="G616" s="793" t="s">
        <v>261</v>
      </c>
      <c r="S616" s="796">
        <f t="shared" si="96"/>
        <v>0</v>
      </c>
      <c r="T616" s="84"/>
      <c r="AB616" s="84">
        <f t="shared" si="94"/>
        <v>0</v>
      </c>
    </row>
    <row r="617" spans="1:28" ht="15.75" hidden="1" thickBot="1" x14ac:dyDescent="0.3">
      <c r="A617" s="84"/>
      <c r="B617" s="84"/>
      <c r="F617" s="792" t="s">
        <v>262</v>
      </c>
      <c r="G617" s="793" t="s">
        <v>263</v>
      </c>
      <c r="H617" s="794"/>
      <c r="I617" s="794"/>
      <c r="J617" s="795"/>
      <c r="K617" s="794"/>
      <c r="L617" s="796"/>
      <c r="M617" s="796"/>
      <c r="N617" s="797"/>
      <c r="O617" s="796"/>
      <c r="P617" s="796"/>
      <c r="Q617" s="796"/>
      <c r="R617" s="797"/>
      <c r="S617" s="796">
        <f t="shared" si="96"/>
        <v>0</v>
      </c>
      <c r="T617" s="84"/>
      <c r="AB617" s="84">
        <f t="shared" si="94"/>
        <v>0</v>
      </c>
    </row>
    <row r="618" spans="1:28" ht="15.75" collapsed="1" thickBot="1" x14ac:dyDescent="0.3">
      <c r="A618" s="84"/>
      <c r="B618" s="84"/>
      <c r="G618" s="798" t="s">
        <v>4154</v>
      </c>
      <c r="H618" s="799">
        <f>H600</f>
        <v>111328522</v>
      </c>
      <c r="I618" s="799">
        <f t="shared" ref="I618:S618" si="97">SUM(I602:I617)</f>
        <v>100879816.38000001</v>
      </c>
      <c r="J618" s="800">
        <f t="shared" si="97"/>
        <v>0.90614529473408445</v>
      </c>
      <c r="K618" s="799">
        <f t="shared" si="97"/>
        <v>10448705.619999994</v>
      </c>
      <c r="L618" s="801">
        <f>L600</f>
        <v>28427</v>
      </c>
      <c r="M618" s="801">
        <f t="shared" si="97"/>
        <v>0</v>
      </c>
      <c r="N618" s="802"/>
      <c r="O618" s="801">
        <f t="shared" si="97"/>
        <v>28427</v>
      </c>
      <c r="P618" s="801">
        <f>P600</f>
        <v>111356949</v>
      </c>
      <c r="Q618" s="801">
        <f t="shared" si="97"/>
        <v>100879816.38000001</v>
      </c>
      <c r="R618" s="802">
        <f>Q618/P618</f>
        <v>0.90591397560649767</v>
      </c>
      <c r="S618" s="801">
        <f t="shared" si="97"/>
        <v>10533986.619999994</v>
      </c>
      <c r="T618" s="84"/>
      <c r="AB618" s="84">
        <f t="shared" si="94"/>
        <v>0</v>
      </c>
    </row>
    <row r="619" spans="1:28" x14ac:dyDescent="0.25">
      <c r="AB619" s="84">
        <f t="shared" si="94"/>
        <v>0</v>
      </c>
    </row>
    <row r="620" spans="1:28" x14ac:dyDescent="0.25">
      <c r="A620" s="84"/>
      <c r="B620" s="84"/>
      <c r="C620" s="992" t="s">
        <v>4087</v>
      </c>
      <c r="D620" s="84"/>
      <c r="E620" s="791"/>
      <c r="F620" s="993"/>
      <c r="G620" s="811" t="s">
        <v>5104</v>
      </c>
      <c r="T620" s="84"/>
      <c r="AB620" s="84">
        <f t="shared" si="94"/>
        <v>0</v>
      </c>
    </row>
    <row r="621" spans="1:28" x14ac:dyDescent="0.25">
      <c r="A621" s="84"/>
      <c r="B621" s="84"/>
      <c r="D621" s="778">
        <v>170</v>
      </c>
      <c r="E621" s="779"/>
      <c r="F621" s="778"/>
      <c r="G621" s="975" t="s">
        <v>5018</v>
      </c>
      <c r="T621" s="84"/>
      <c r="AB621" s="84">
        <f t="shared" si="94"/>
        <v>0</v>
      </c>
    </row>
    <row r="622" spans="1:28" hidden="1" x14ac:dyDescent="0.25">
      <c r="A622" s="84"/>
      <c r="B622" s="84"/>
      <c r="F622" s="782">
        <v>411</v>
      </c>
      <c r="G622" s="783" t="s">
        <v>4114</v>
      </c>
      <c r="S622" s="765">
        <f>SUM(H622:L622)</f>
        <v>0</v>
      </c>
      <c r="T622" s="84"/>
      <c r="AB622" s="84">
        <f t="shared" si="94"/>
        <v>0</v>
      </c>
    </row>
    <row r="623" spans="1:28" hidden="1" x14ac:dyDescent="0.25">
      <c r="A623" s="84"/>
      <c r="B623" s="84"/>
      <c r="C623" s="84"/>
      <c r="D623" s="84"/>
      <c r="E623" s="994"/>
      <c r="F623" s="782">
        <v>412</v>
      </c>
      <c r="G623" s="783" t="s">
        <v>3768</v>
      </c>
      <c r="S623" s="765">
        <f t="shared" ref="S623:S681" si="98">SUM(H623:L623)</f>
        <v>0</v>
      </c>
      <c r="T623" s="84"/>
      <c r="AB623" s="84">
        <f t="shared" si="94"/>
        <v>0</v>
      </c>
    </row>
    <row r="624" spans="1:28" hidden="1" x14ac:dyDescent="0.25">
      <c r="A624" s="84"/>
      <c r="B624" s="84"/>
      <c r="C624" s="84"/>
      <c r="D624" s="84"/>
      <c r="E624" s="994"/>
      <c r="F624" s="782">
        <v>413</v>
      </c>
      <c r="G624" s="783" t="s">
        <v>4115</v>
      </c>
      <c r="S624" s="765">
        <f t="shared" si="98"/>
        <v>0</v>
      </c>
      <c r="T624" s="84"/>
      <c r="AB624" s="84">
        <f t="shared" si="94"/>
        <v>0</v>
      </c>
    </row>
    <row r="625" spans="1:28" hidden="1" x14ac:dyDescent="0.25">
      <c r="A625" s="84"/>
      <c r="B625" s="84"/>
      <c r="C625" s="84"/>
      <c r="D625" s="84"/>
      <c r="E625" s="994"/>
      <c r="F625" s="782">
        <v>414</v>
      </c>
      <c r="G625" s="783" t="s">
        <v>3771</v>
      </c>
      <c r="S625" s="765">
        <f t="shared" si="98"/>
        <v>0</v>
      </c>
      <c r="T625" s="84"/>
      <c r="AB625" s="84">
        <f t="shared" si="94"/>
        <v>0</v>
      </c>
    </row>
    <row r="626" spans="1:28" hidden="1" x14ac:dyDescent="0.25">
      <c r="A626" s="84"/>
      <c r="B626" s="84"/>
      <c r="C626" s="84"/>
      <c r="D626" s="84"/>
      <c r="E626" s="994"/>
      <c r="F626" s="782">
        <v>415</v>
      </c>
      <c r="G626" s="783" t="s">
        <v>4124</v>
      </c>
      <c r="S626" s="765">
        <f t="shared" si="98"/>
        <v>0</v>
      </c>
      <c r="T626" s="84"/>
      <c r="AB626" s="84">
        <f t="shared" si="94"/>
        <v>0</v>
      </c>
    </row>
    <row r="627" spans="1:28" hidden="1" x14ac:dyDescent="0.25">
      <c r="A627" s="84"/>
      <c r="B627" s="84"/>
      <c r="C627" s="84"/>
      <c r="D627" s="84"/>
      <c r="E627" s="994"/>
      <c r="F627" s="782">
        <v>416</v>
      </c>
      <c r="G627" s="783" t="s">
        <v>4125</v>
      </c>
      <c r="S627" s="765">
        <f t="shared" si="98"/>
        <v>0</v>
      </c>
      <c r="T627" s="84"/>
      <c r="AB627" s="84">
        <f t="shared" si="94"/>
        <v>0</v>
      </c>
    </row>
    <row r="628" spans="1:28" hidden="1" x14ac:dyDescent="0.25">
      <c r="A628" s="84"/>
      <c r="B628" s="84"/>
      <c r="C628" s="84"/>
      <c r="D628" s="84"/>
      <c r="E628" s="994"/>
      <c r="F628" s="782">
        <v>417</v>
      </c>
      <c r="G628" s="783" t="s">
        <v>4126</v>
      </c>
      <c r="S628" s="765">
        <f t="shared" si="98"/>
        <v>0</v>
      </c>
      <c r="T628" s="84"/>
      <c r="AB628" s="84">
        <f t="shared" si="94"/>
        <v>0</v>
      </c>
    </row>
    <row r="629" spans="1:28" hidden="1" x14ac:dyDescent="0.25">
      <c r="A629" s="84"/>
      <c r="B629" s="84"/>
      <c r="C629" s="84"/>
      <c r="D629" s="84"/>
      <c r="E629" s="994"/>
      <c r="F629" s="782">
        <v>418</v>
      </c>
      <c r="G629" s="783" t="s">
        <v>3777</v>
      </c>
      <c r="S629" s="765">
        <f t="shared" si="98"/>
        <v>0</v>
      </c>
      <c r="T629" s="84"/>
      <c r="AB629" s="84">
        <f t="shared" si="94"/>
        <v>0</v>
      </c>
    </row>
    <row r="630" spans="1:28" hidden="1" x14ac:dyDescent="0.25">
      <c r="A630" s="84"/>
      <c r="B630" s="84"/>
      <c r="C630" s="84"/>
      <c r="D630" s="84"/>
      <c r="E630" s="994"/>
      <c r="F630" s="782">
        <v>421</v>
      </c>
      <c r="G630" s="783" t="s">
        <v>3781</v>
      </c>
      <c r="S630" s="765">
        <f t="shared" si="98"/>
        <v>0</v>
      </c>
      <c r="T630" s="84"/>
      <c r="AB630" s="84">
        <f t="shared" si="94"/>
        <v>0</v>
      </c>
    </row>
    <row r="631" spans="1:28" hidden="1" x14ac:dyDescent="0.25">
      <c r="A631" s="84"/>
      <c r="B631" s="84"/>
      <c r="C631" s="84"/>
      <c r="D631" s="84"/>
      <c r="E631" s="994"/>
      <c r="F631" s="782">
        <v>422</v>
      </c>
      <c r="G631" s="783" t="s">
        <v>3782</v>
      </c>
      <c r="S631" s="765">
        <f t="shared" si="98"/>
        <v>0</v>
      </c>
      <c r="T631" s="84"/>
      <c r="AB631" s="84">
        <f t="shared" si="94"/>
        <v>0</v>
      </c>
    </row>
    <row r="632" spans="1:28" hidden="1" x14ac:dyDescent="0.25">
      <c r="A632" s="84"/>
      <c r="B632" s="84"/>
      <c r="C632" s="84"/>
      <c r="D632" s="84"/>
      <c r="E632" s="994"/>
      <c r="F632" s="782">
        <v>423</v>
      </c>
      <c r="G632" s="783" t="s">
        <v>3783</v>
      </c>
      <c r="S632" s="765">
        <f t="shared" si="98"/>
        <v>0</v>
      </c>
      <c r="T632" s="84"/>
      <c r="AB632" s="84">
        <f t="shared" si="94"/>
        <v>0</v>
      </c>
    </row>
    <row r="633" spans="1:28" hidden="1" x14ac:dyDescent="0.25">
      <c r="A633" s="84"/>
      <c r="B633" s="84"/>
      <c r="C633" s="84"/>
      <c r="D633" s="84"/>
      <c r="E633" s="994"/>
      <c r="F633" s="782">
        <v>424</v>
      </c>
      <c r="G633" s="783" t="s">
        <v>3785</v>
      </c>
      <c r="S633" s="765">
        <f t="shared" si="98"/>
        <v>0</v>
      </c>
      <c r="T633" s="84"/>
      <c r="AB633" s="84">
        <f t="shared" si="94"/>
        <v>0</v>
      </c>
    </row>
    <row r="634" spans="1:28" hidden="1" x14ac:dyDescent="0.25">
      <c r="A634" s="84"/>
      <c r="B634" s="84"/>
      <c r="C634" s="84"/>
      <c r="D634" s="84"/>
      <c r="E634" s="994"/>
      <c r="F634" s="782">
        <v>425</v>
      </c>
      <c r="G634" s="783" t="s">
        <v>4127</v>
      </c>
      <c r="S634" s="765">
        <f t="shared" si="98"/>
        <v>0</v>
      </c>
      <c r="T634" s="84"/>
      <c r="AB634" s="84">
        <f t="shared" si="94"/>
        <v>0</v>
      </c>
    </row>
    <row r="635" spans="1:28" hidden="1" x14ac:dyDescent="0.25">
      <c r="A635" s="84"/>
      <c r="B635" s="84"/>
      <c r="C635" s="84"/>
      <c r="D635" s="84"/>
      <c r="E635" s="994"/>
      <c r="F635" s="782">
        <v>426</v>
      </c>
      <c r="G635" s="783" t="s">
        <v>3789</v>
      </c>
      <c r="S635" s="765">
        <f t="shared" si="98"/>
        <v>0</v>
      </c>
      <c r="T635" s="84"/>
      <c r="AB635" s="84">
        <f t="shared" si="94"/>
        <v>0</v>
      </c>
    </row>
    <row r="636" spans="1:28" hidden="1" x14ac:dyDescent="0.25">
      <c r="A636" s="84"/>
      <c r="B636" s="84"/>
      <c r="C636" s="84"/>
      <c r="D636" s="84"/>
      <c r="E636" s="994"/>
      <c r="F636" s="782">
        <v>431</v>
      </c>
      <c r="G636" s="783" t="s">
        <v>4128</v>
      </c>
      <c r="S636" s="765">
        <f t="shared" si="98"/>
        <v>0</v>
      </c>
      <c r="T636" s="84"/>
      <c r="AB636" s="84">
        <f t="shared" si="94"/>
        <v>0</v>
      </c>
    </row>
    <row r="637" spans="1:28" hidden="1" x14ac:dyDescent="0.25">
      <c r="A637" s="84"/>
      <c r="B637" s="84"/>
      <c r="C637" s="84"/>
      <c r="D637" s="84"/>
      <c r="E637" s="994"/>
      <c r="F637" s="782">
        <v>432</v>
      </c>
      <c r="G637" s="783" t="s">
        <v>4129</v>
      </c>
      <c r="S637" s="765">
        <f t="shared" si="98"/>
        <v>0</v>
      </c>
      <c r="T637" s="84"/>
      <c r="AB637" s="84">
        <f t="shared" si="94"/>
        <v>0</v>
      </c>
    </row>
    <row r="638" spans="1:28" hidden="1" x14ac:dyDescent="0.25">
      <c r="A638" s="84"/>
      <c r="B638" s="84"/>
      <c r="C638" s="84"/>
      <c r="D638" s="84"/>
      <c r="E638" s="994"/>
      <c r="F638" s="782">
        <v>433</v>
      </c>
      <c r="G638" s="783" t="s">
        <v>4130</v>
      </c>
      <c r="S638" s="765">
        <f t="shared" si="98"/>
        <v>0</v>
      </c>
      <c r="T638" s="84"/>
      <c r="AB638" s="84">
        <f t="shared" si="94"/>
        <v>0</v>
      </c>
    </row>
    <row r="639" spans="1:28" hidden="1" x14ac:dyDescent="0.25">
      <c r="A639" s="84"/>
      <c r="B639" s="84"/>
      <c r="C639" s="84"/>
      <c r="D639" s="84"/>
      <c r="F639" s="782">
        <v>434</v>
      </c>
      <c r="G639" s="783" t="s">
        <v>4131</v>
      </c>
      <c r="S639" s="765">
        <f t="shared" si="98"/>
        <v>0</v>
      </c>
      <c r="T639" s="84"/>
      <c r="AB639" s="84">
        <f t="shared" si="94"/>
        <v>0</v>
      </c>
    </row>
    <row r="640" spans="1:28" hidden="1" x14ac:dyDescent="0.25">
      <c r="A640" s="84"/>
      <c r="B640" s="84"/>
      <c r="C640" s="84"/>
      <c r="D640" s="84"/>
      <c r="F640" s="782">
        <v>435</v>
      </c>
      <c r="G640" s="783" t="s">
        <v>3796</v>
      </c>
      <c r="S640" s="765">
        <f t="shared" si="98"/>
        <v>0</v>
      </c>
      <c r="T640" s="84"/>
      <c r="AB640" s="84">
        <f t="shared" si="94"/>
        <v>0</v>
      </c>
    </row>
    <row r="641" spans="1:31" x14ac:dyDescent="0.25">
      <c r="A641" s="84"/>
      <c r="B641" s="84"/>
      <c r="C641" s="84"/>
      <c r="D641" s="84"/>
      <c r="E641" s="760" t="s">
        <v>5461</v>
      </c>
      <c r="F641" s="782">
        <v>441</v>
      </c>
      <c r="G641" s="783" t="s">
        <v>4132</v>
      </c>
      <c r="H641" s="763">
        <v>735000</v>
      </c>
      <c r="I641" s="763">
        <f>149073.48+27541.02</f>
        <v>176614.5</v>
      </c>
      <c r="J641" s="764">
        <f>I641/H641</f>
        <v>0.24029183673469387</v>
      </c>
      <c r="K641" s="763">
        <f>H641-I641</f>
        <v>558385.5</v>
      </c>
      <c r="L641" s="765">
        <v>0</v>
      </c>
      <c r="M641" s="765">
        <v>0</v>
      </c>
      <c r="O641" s="765">
        <f>L641-M641</f>
        <v>0</v>
      </c>
      <c r="P641" s="765">
        <f>L641+H641</f>
        <v>735000</v>
      </c>
      <c r="Q641" s="765">
        <f>M641+I641</f>
        <v>176614.5</v>
      </c>
      <c r="R641" s="766">
        <f>Q641/P641</f>
        <v>0.24029183673469387</v>
      </c>
      <c r="S641" s="765">
        <f>P641-Q641</f>
        <v>558385.5</v>
      </c>
      <c r="T641" s="84"/>
      <c r="V641" s="203">
        <f>120000+176614.5</f>
        <v>296614.5</v>
      </c>
      <c r="W641" s="203">
        <f>H641-V641</f>
        <v>438385.5</v>
      </c>
      <c r="X641" s="833">
        <v>200000</v>
      </c>
      <c r="Z641" s="830">
        <f t="shared" ref="Z641:Z680" si="99">H641-X641+Y641</f>
        <v>535000</v>
      </c>
      <c r="AA641" s="831">
        <v>500000</v>
      </c>
      <c r="AB641" s="84">
        <f t="shared" si="94"/>
        <v>35000</v>
      </c>
      <c r="AE641" s="84">
        <f t="shared" ref="AE641:AE680" si="100">H641-AA641</f>
        <v>235000</v>
      </c>
    </row>
    <row r="642" spans="1:31" hidden="1" x14ac:dyDescent="0.25">
      <c r="A642" s="84"/>
      <c r="B642" s="84"/>
      <c r="C642" s="84"/>
      <c r="D642" s="84"/>
      <c r="F642" s="782">
        <v>442</v>
      </c>
      <c r="G642" s="783" t="s">
        <v>4133</v>
      </c>
      <c r="H642" s="763">
        <v>0</v>
      </c>
      <c r="S642" s="765">
        <f t="shared" si="98"/>
        <v>0</v>
      </c>
      <c r="T642" s="84"/>
      <c r="Z642" s="830">
        <f t="shared" si="99"/>
        <v>0</v>
      </c>
      <c r="AA642" s="831">
        <v>0</v>
      </c>
      <c r="AB642" s="84">
        <f t="shared" si="94"/>
        <v>0</v>
      </c>
      <c r="AE642" s="84">
        <f t="shared" si="100"/>
        <v>0</v>
      </c>
    </row>
    <row r="643" spans="1:31" hidden="1" x14ac:dyDescent="0.25">
      <c r="A643" s="84"/>
      <c r="B643" s="84"/>
      <c r="C643" s="84"/>
      <c r="D643" s="84"/>
      <c r="F643" s="782">
        <v>443</v>
      </c>
      <c r="G643" s="783" t="s">
        <v>3801</v>
      </c>
      <c r="H643" s="763">
        <v>0</v>
      </c>
      <c r="S643" s="765">
        <f t="shared" si="98"/>
        <v>0</v>
      </c>
      <c r="T643" s="84"/>
      <c r="Z643" s="830">
        <f t="shared" si="99"/>
        <v>0</v>
      </c>
      <c r="AA643" s="831">
        <v>0</v>
      </c>
      <c r="AB643" s="84">
        <f t="shared" si="94"/>
        <v>0</v>
      </c>
      <c r="AE643" s="84">
        <f t="shared" si="100"/>
        <v>0</v>
      </c>
    </row>
    <row r="644" spans="1:31" x14ac:dyDescent="0.25">
      <c r="A644" s="84"/>
      <c r="B644" s="84"/>
      <c r="C644" s="84"/>
      <c r="D644" s="84"/>
      <c r="E644" s="760" t="s">
        <v>5462</v>
      </c>
      <c r="F644" s="782">
        <v>444</v>
      </c>
      <c r="G644" s="783" t="s">
        <v>3802</v>
      </c>
      <c r="H644" s="763">
        <v>185000</v>
      </c>
      <c r="I644" s="763">
        <v>39200</v>
      </c>
      <c r="J644" s="764">
        <f>I644/H644</f>
        <v>0.21189189189189189</v>
      </c>
      <c r="K644" s="763">
        <f>H644-I644</f>
        <v>145800</v>
      </c>
      <c r="L644" s="765">
        <v>0</v>
      </c>
      <c r="M644" s="765">
        <v>0</v>
      </c>
      <c r="O644" s="765">
        <f>L644-M644</f>
        <v>0</v>
      </c>
      <c r="P644" s="765">
        <f>L644+H644</f>
        <v>185000</v>
      </c>
      <c r="S644" s="765">
        <f t="shared" si="98"/>
        <v>370000.2118918919</v>
      </c>
      <c r="T644" s="84"/>
      <c r="X644" s="833">
        <v>150000</v>
      </c>
      <c r="Z644" s="830">
        <f t="shared" si="99"/>
        <v>35000</v>
      </c>
      <c r="AA644" s="831">
        <v>300000</v>
      </c>
      <c r="AB644" s="84">
        <f t="shared" si="94"/>
        <v>-265000</v>
      </c>
      <c r="AE644" s="84">
        <f t="shared" si="100"/>
        <v>-115000</v>
      </c>
    </row>
    <row r="645" spans="1:31" ht="30" hidden="1" x14ac:dyDescent="0.25">
      <c r="A645" s="84"/>
      <c r="B645" s="84"/>
      <c r="C645" s="84"/>
      <c r="D645" s="84"/>
      <c r="F645" s="782">
        <v>4511</v>
      </c>
      <c r="G645" s="874" t="s">
        <v>1691</v>
      </c>
      <c r="H645" s="763">
        <v>0</v>
      </c>
      <c r="S645" s="765">
        <f t="shared" si="98"/>
        <v>0</v>
      </c>
      <c r="T645" s="84"/>
      <c r="Z645" s="830">
        <f t="shared" si="99"/>
        <v>0</v>
      </c>
      <c r="AA645" s="831">
        <v>0</v>
      </c>
      <c r="AB645" s="84">
        <f t="shared" si="94"/>
        <v>0</v>
      </c>
      <c r="AE645" s="84">
        <f t="shared" si="100"/>
        <v>0</v>
      </c>
    </row>
    <row r="646" spans="1:31" ht="16.5" hidden="1" customHeight="1" x14ac:dyDescent="0.25">
      <c r="A646" s="84"/>
      <c r="B646" s="84"/>
      <c r="C646" s="84"/>
      <c r="D646" s="84"/>
      <c r="F646" s="782">
        <v>4512</v>
      </c>
      <c r="G646" s="874" t="s">
        <v>1700</v>
      </c>
      <c r="H646" s="763">
        <v>0</v>
      </c>
      <c r="S646" s="765">
        <f t="shared" si="98"/>
        <v>0</v>
      </c>
      <c r="T646" s="84"/>
      <c r="Z646" s="830">
        <f t="shared" si="99"/>
        <v>0</v>
      </c>
      <c r="AA646" s="831">
        <v>0</v>
      </c>
      <c r="AB646" s="84">
        <f t="shared" si="94"/>
        <v>0</v>
      </c>
      <c r="AE646" s="84">
        <f t="shared" si="100"/>
        <v>0</v>
      </c>
    </row>
    <row r="647" spans="1:31" ht="30" hidden="1" x14ac:dyDescent="0.25">
      <c r="A647" s="84"/>
      <c r="B647" s="84"/>
      <c r="C647" s="84"/>
      <c r="D647" s="84"/>
      <c r="F647" s="782">
        <v>452</v>
      </c>
      <c r="G647" s="783" t="s">
        <v>4134</v>
      </c>
      <c r="H647" s="763">
        <v>0</v>
      </c>
      <c r="S647" s="765">
        <f t="shared" si="98"/>
        <v>0</v>
      </c>
      <c r="T647" s="84"/>
      <c r="Z647" s="830">
        <f t="shared" si="99"/>
        <v>0</v>
      </c>
      <c r="AA647" s="831">
        <v>0</v>
      </c>
      <c r="AB647" s="84">
        <f t="shared" si="94"/>
        <v>0</v>
      </c>
      <c r="AE647" s="84">
        <f t="shared" si="100"/>
        <v>0</v>
      </c>
    </row>
    <row r="648" spans="1:31" hidden="1" x14ac:dyDescent="0.25">
      <c r="A648" s="84"/>
      <c r="B648" s="84"/>
      <c r="C648" s="84"/>
      <c r="D648" s="84"/>
      <c r="F648" s="782">
        <v>453</v>
      </c>
      <c r="G648" s="783" t="s">
        <v>4135</v>
      </c>
      <c r="H648" s="763">
        <v>0</v>
      </c>
      <c r="S648" s="765">
        <f t="shared" si="98"/>
        <v>0</v>
      </c>
      <c r="T648" s="84"/>
      <c r="Z648" s="830">
        <f t="shared" si="99"/>
        <v>0</v>
      </c>
      <c r="AA648" s="831">
        <v>0</v>
      </c>
      <c r="AB648" s="84">
        <f t="shared" si="94"/>
        <v>0</v>
      </c>
      <c r="AE648" s="84">
        <f t="shared" si="100"/>
        <v>0</v>
      </c>
    </row>
    <row r="649" spans="1:31" hidden="1" x14ac:dyDescent="0.25">
      <c r="A649" s="84"/>
      <c r="B649" s="84"/>
      <c r="C649" s="84"/>
      <c r="D649" s="84"/>
      <c r="F649" s="782">
        <v>454</v>
      </c>
      <c r="G649" s="783" t="s">
        <v>3807</v>
      </c>
      <c r="H649" s="763">
        <v>0</v>
      </c>
      <c r="S649" s="765">
        <f t="shared" si="98"/>
        <v>0</v>
      </c>
      <c r="T649" s="84"/>
      <c r="Z649" s="830">
        <f t="shared" si="99"/>
        <v>0</v>
      </c>
      <c r="AA649" s="831">
        <v>0</v>
      </c>
      <c r="AB649" s="84">
        <f t="shared" si="94"/>
        <v>0</v>
      </c>
      <c r="AE649" s="84">
        <f t="shared" si="100"/>
        <v>0</v>
      </c>
    </row>
    <row r="650" spans="1:31" hidden="1" x14ac:dyDescent="0.25">
      <c r="A650" s="84"/>
      <c r="B650" s="84"/>
      <c r="C650" s="84"/>
      <c r="D650" s="84"/>
      <c r="F650" s="782">
        <v>461</v>
      </c>
      <c r="G650" s="783" t="s">
        <v>4116</v>
      </c>
      <c r="H650" s="763">
        <v>0</v>
      </c>
      <c r="S650" s="765">
        <f t="shared" si="98"/>
        <v>0</v>
      </c>
      <c r="T650" s="84"/>
      <c r="Z650" s="830">
        <f t="shared" si="99"/>
        <v>0</v>
      </c>
      <c r="AA650" s="831">
        <v>0</v>
      </c>
      <c r="AB650" s="84">
        <f t="shared" si="94"/>
        <v>0</v>
      </c>
      <c r="AE650" s="84">
        <f t="shared" si="100"/>
        <v>0</v>
      </c>
    </row>
    <row r="651" spans="1:31" ht="30" hidden="1" x14ac:dyDescent="0.25">
      <c r="A651" s="84"/>
      <c r="B651" s="84"/>
      <c r="C651" s="84"/>
      <c r="D651" s="84"/>
      <c r="F651" s="782">
        <v>462</v>
      </c>
      <c r="G651" s="783" t="s">
        <v>3810</v>
      </c>
      <c r="H651" s="763">
        <v>0</v>
      </c>
      <c r="S651" s="765">
        <f t="shared" si="98"/>
        <v>0</v>
      </c>
      <c r="T651" s="84"/>
      <c r="Z651" s="830">
        <f t="shared" si="99"/>
        <v>0</v>
      </c>
      <c r="AA651" s="831">
        <v>0</v>
      </c>
      <c r="AB651" s="84">
        <f t="shared" ref="AB651:AB714" si="101">Z651-AA651</f>
        <v>0</v>
      </c>
      <c r="AE651" s="84">
        <f t="shared" si="100"/>
        <v>0</v>
      </c>
    </row>
    <row r="652" spans="1:31" hidden="1" x14ac:dyDescent="0.25">
      <c r="A652" s="84"/>
      <c r="B652" s="84"/>
      <c r="C652" s="84"/>
      <c r="D652" s="84"/>
      <c r="F652" s="782">
        <v>4631</v>
      </c>
      <c r="G652" s="783" t="s">
        <v>3811</v>
      </c>
      <c r="H652" s="763">
        <v>0</v>
      </c>
      <c r="S652" s="765">
        <f t="shared" si="98"/>
        <v>0</v>
      </c>
      <c r="T652" s="84"/>
      <c r="Z652" s="830">
        <f t="shared" si="99"/>
        <v>0</v>
      </c>
      <c r="AA652" s="831">
        <v>0</v>
      </c>
      <c r="AB652" s="84">
        <f t="shared" si="101"/>
        <v>0</v>
      </c>
      <c r="AE652" s="84">
        <f t="shared" si="100"/>
        <v>0</v>
      </c>
    </row>
    <row r="653" spans="1:31" hidden="1" x14ac:dyDescent="0.25">
      <c r="A653" s="84"/>
      <c r="B653" s="84"/>
      <c r="C653" s="84"/>
      <c r="D653" s="84"/>
      <c r="F653" s="782">
        <v>4632</v>
      </c>
      <c r="G653" s="783" t="s">
        <v>3812</v>
      </c>
      <c r="H653" s="763">
        <v>0</v>
      </c>
      <c r="S653" s="765">
        <f t="shared" si="98"/>
        <v>0</v>
      </c>
      <c r="T653" s="84"/>
      <c r="Z653" s="830">
        <f t="shared" si="99"/>
        <v>0</v>
      </c>
      <c r="AA653" s="831">
        <v>0</v>
      </c>
      <c r="AB653" s="84">
        <f t="shared" si="101"/>
        <v>0</v>
      </c>
      <c r="AE653" s="84">
        <f t="shared" si="100"/>
        <v>0</v>
      </c>
    </row>
    <row r="654" spans="1:31" ht="30" hidden="1" x14ac:dyDescent="0.25">
      <c r="A654" s="84"/>
      <c r="B654" s="84"/>
      <c r="C654" s="84"/>
      <c r="D654" s="84"/>
      <c r="F654" s="782">
        <v>464</v>
      </c>
      <c r="G654" s="783" t="s">
        <v>3813</v>
      </c>
      <c r="H654" s="763">
        <v>0</v>
      </c>
      <c r="S654" s="765">
        <f t="shared" si="98"/>
        <v>0</v>
      </c>
      <c r="T654" s="84"/>
      <c r="Z654" s="830">
        <f t="shared" si="99"/>
        <v>0</v>
      </c>
      <c r="AA654" s="831">
        <v>0</v>
      </c>
      <c r="AB654" s="84">
        <f t="shared" si="101"/>
        <v>0</v>
      </c>
      <c r="AE654" s="84">
        <f t="shared" si="100"/>
        <v>0</v>
      </c>
    </row>
    <row r="655" spans="1:31" hidden="1" x14ac:dyDescent="0.25">
      <c r="A655" s="84"/>
      <c r="B655" s="84"/>
      <c r="C655" s="84"/>
      <c r="D655" s="84"/>
      <c r="E655" s="994"/>
      <c r="F655" s="782">
        <v>465</v>
      </c>
      <c r="G655" s="783" t="s">
        <v>4117</v>
      </c>
      <c r="H655" s="763">
        <v>0</v>
      </c>
      <c r="S655" s="765">
        <f t="shared" si="98"/>
        <v>0</v>
      </c>
      <c r="T655" s="84"/>
      <c r="Z655" s="830">
        <f t="shared" si="99"/>
        <v>0</v>
      </c>
      <c r="AA655" s="831">
        <v>0</v>
      </c>
      <c r="AB655" s="84">
        <f t="shared" si="101"/>
        <v>0</v>
      </c>
      <c r="AE655" s="84">
        <f t="shared" si="100"/>
        <v>0</v>
      </c>
    </row>
    <row r="656" spans="1:31" hidden="1" x14ac:dyDescent="0.25">
      <c r="A656" s="84"/>
      <c r="B656" s="84"/>
      <c r="C656" s="84"/>
      <c r="D656" s="84"/>
      <c r="E656" s="994"/>
      <c r="F656" s="782">
        <v>472</v>
      </c>
      <c r="G656" s="783" t="s">
        <v>3817</v>
      </c>
      <c r="H656" s="763">
        <v>0</v>
      </c>
      <c r="S656" s="765">
        <f t="shared" si="98"/>
        <v>0</v>
      </c>
      <c r="T656" s="84"/>
      <c r="Z656" s="830">
        <f t="shared" si="99"/>
        <v>0</v>
      </c>
      <c r="AA656" s="831">
        <v>0</v>
      </c>
      <c r="AB656" s="84">
        <f t="shared" si="101"/>
        <v>0</v>
      </c>
      <c r="AE656" s="84">
        <f t="shared" si="100"/>
        <v>0</v>
      </c>
    </row>
    <row r="657" spans="1:31" hidden="1" x14ac:dyDescent="0.25">
      <c r="A657" s="84"/>
      <c r="B657" s="84"/>
      <c r="C657" s="84"/>
      <c r="D657" s="84"/>
      <c r="E657" s="994"/>
      <c r="F657" s="782">
        <v>481</v>
      </c>
      <c r="G657" s="783" t="s">
        <v>4136</v>
      </c>
      <c r="H657" s="763">
        <v>0</v>
      </c>
      <c r="S657" s="765">
        <f t="shared" si="98"/>
        <v>0</v>
      </c>
      <c r="T657" s="84"/>
      <c r="Z657" s="830">
        <f t="shared" si="99"/>
        <v>0</v>
      </c>
      <c r="AA657" s="831">
        <v>0</v>
      </c>
      <c r="AB657" s="84">
        <f t="shared" si="101"/>
        <v>0</v>
      </c>
      <c r="AE657" s="84">
        <f t="shared" si="100"/>
        <v>0</v>
      </c>
    </row>
    <row r="658" spans="1:31" hidden="1" x14ac:dyDescent="0.25">
      <c r="A658" s="84"/>
      <c r="B658" s="84"/>
      <c r="C658" s="84"/>
      <c r="D658" s="84"/>
      <c r="E658" s="994"/>
      <c r="F658" s="782">
        <v>482</v>
      </c>
      <c r="G658" s="783" t="s">
        <v>4137</v>
      </c>
      <c r="H658" s="763">
        <v>0</v>
      </c>
      <c r="S658" s="765">
        <f t="shared" si="98"/>
        <v>0</v>
      </c>
      <c r="T658" s="84"/>
      <c r="Z658" s="830">
        <f t="shared" si="99"/>
        <v>0</v>
      </c>
      <c r="AA658" s="831">
        <v>0</v>
      </c>
      <c r="AB658" s="84">
        <f t="shared" si="101"/>
        <v>0</v>
      </c>
      <c r="AE658" s="84">
        <f t="shared" si="100"/>
        <v>0</v>
      </c>
    </row>
    <row r="659" spans="1:31" hidden="1" x14ac:dyDescent="0.25">
      <c r="A659" s="84"/>
      <c r="B659" s="84"/>
      <c r="C659" s="84"/>
      <c r="D659" s="84"/>
      <c r="E659" s="994"/>
      <c r="F659" s="782">
        <v>483</v>
      </c>
      <c r="G659" s="876" t="s">
        <v>4138</v>
      </c>
      <c r="H659" s="763">
        <v>0</v>
      </c>
      <c r="S659" s="765">
        <f t="shared" si="98"/>
        <v>0</v>
      </c>
      <c r="T659" s="84"/>
      <c r="Z659" s="830">
        <f t="shared" si="99"/>
        <v>0</v>
      </c>
      <c r="AA659" s="831">
        <v>0</v>
      </c>
      <c r="AB659" s="84">
        <f t="shared" si="101"/>
        <v>0</v>
      </c>
      <c r="AE659" s="84">
        <f t="shared" si="100"/>
        <v>0</v>
      </c>
    </row>
    <row r="660" spans="1:31" ht="45" hidden="1" x14ac:dyDescent="0.25">
      <c r="A660" s="84"/>
      <c r="B660" s="84"/>
      <c r="C660" s="84"/>
      <c r="D660" s="84"/>
      <c r="E660" s="994"/>
      <c r="F660" s="782">
        <v>484</v>
      </c>
      <c r="G660" s="783" t="s">
        <v>4139</v>
      </c>
      <c r="H660" s="763">
        <v>0</v>
      </c>
      <c r="S660" s="765">
        <f t="shared" si="98"/>
        <v>0</v>
      </c>
      <c r="T660" s="84"/>
      <c r="Z660" s="830">
        <f t="shared" si="99"/>
        <v>0</v>
      </c>
      <c r="AA660" s="831">
        <v>0</v>
      </c>
      <c r="AB660" s="84">
        <f t="shared" si="101"/>
        <v>0</v>
      </c>
      <c r="AE660" s="84">
        <f t="shared" si="100"/>
        <v>0</v>
      </c>
    </row>
    <row r="661" spans="1:31" ht="30" hidden="1" x14ac:dyDescent="0.25">
      <c r="A661" s="84"/>
      <c r="B661" s="84"/>
      <c r="C661" s="84"/>
      <c r="D661" s="84"/>
      <c r="E661" s="994"/>
      <c r="F661" s="782">
        <v>485</v>
      </c>
      <c r="G661" s="783" t="s">
        <v>4140</v>
      </c>
      <c r="H661" s="763">
        <v>0</v>
      </c>
      <c r="S661" s="765">
        <f t="shared" si="98"/>
        <v>0</v>
      </c>
      <c r="T661" s="84"/>
      <c r="Z661" s="830">
        <f t="shared" si="99"/>
        <v>0</v>
      </c>
      <c r="AA661" s="831">
        <v>0</v>
      </c>
      <c r="AB661" s="84">
        <f t="shared" si="101"/>
        <v>0</v>
      </c>
      <c r="AE661" s="84">
        <f t="shared" si="100"/>
        <v>0</v>
      </c>
    </row>
    <row r="662" spans="1:31" ht="30" hidden="1" x14ac:dyDescent="0.25">
      <c r="A662" s="84"/>
      <c r="B662" s="84"/>
      <c r="C662" s="84"/>
      <c r="D662" s="84"/>
      <c r="E662" s="994"/>
      <c r="F662" s="782">
        <v>489</v>
      </c>
      <c r="G662" s="783" t="s">
        <v>3825</v>
      </c>
      <c r="H662" s="763">
        <v>0</v>
      </c>
      <c r="S662" s="765">
        <f t="shared" si="98"/>
        <v>0</v>
      </c>
      <c r="T662" s="84"/>
      <c r="Z662" s="830">
        <f t="shared" si="99"/>
        <v>0</v>
      </c>
      <c r="AA662" s="831">
        <v>0</v>
      </c>
      <c r="AB662" s="84">
        <f t="shared" si="101"/>
        <v>0</v>
      </c>
      <c r="AE662" s="84">
        <f t="shared" si="100"/>
        <v>0</v>
      </c>
    </row>
    <row r="663" spans="1:31" ht="30" hidden="1" x14ac:dyDescent="0.25">
      <c r="A663" s="84"/>
      <c r="B663" s="84"/>
      <c r="C663" s="84"/>
      <c r="D663" s="84"/>
      <c r="E663" s="994"/>
      <c r="F663" s="782">
        <v>494</v>
      </c>
      <c r="G663" s="783" t="s">
        <v>4118</v>
      </c>
      <c r="H663" s="763">
        <v>0</v>
      </c>
      <c r="S663" s="765">
        <f t="shared" si="98"/>
        <v>0</v>
      </c>
      <c r="T663" s="84"/>
      <c r="Z663" s="830">
        <f t="shared" si="99"/>
        <v>0</v>
      </c>
      <c r="AA663" s="831">
        <v>0</v>
      </c>
      <c r="AB663" s="84">
        <f t="shared" si="101"/>
        <v>0</v>
      </c>
      <c r="AE663" s="84">
        <f t="shared" si="100"/>
        <v>0</v>
      </c>
    </row>
    <row r="664" spans="1:31" ht="30" hidden="1" x14ac:dyDescent="0.25">
      <c r="A664" s="84"/>
      <c r="B664" s="84"/>
      <c r="C664" s="84"/>
      <c r="D664" s="84"/>
      <c r="E664" s="994"/>
      <c r="F664" s="782">
        <v>495</v>
      </c>
      <c r="G664" s="783" t="s">
        <v>4119</v>
      </c>
      <c r="H664" s="763">
        <v>0</v>
      </c>
      <c r="S664" s="765">
        <f t="shared" si="98"/>
        <v>0</v>
      </c>
      <c r="T664" s="84"/>
      <c r="Z664" s="830">
        <f t="shared" si="99"/>
        <v>0</v>
      </c>
      <c r="AA664" s="831">
        <v>0</v>
      </c>
      <c r="AB664" s="84">
        <f t="shared" si="101"/>
        <v>0</v>
      </c>
      <c r="AE664" s="84">
        <f t="shared" si="100"/>
        <v>0</v>
      </c>
    </row>
    <row r="665" spans="1:31" ht="45" hidden="1" x14ac:dyDescent="0.25">
      <c r="A665" s="84"/>
      <c r="B665" s="84"/>
      <c r="C665" s="84"/>
      <c r="D665" s="84"/>
      <c r="E665" s="994"/>
      <c r="F665" s="782">
        <v>496</v>
      </c>
      <c r="G665" s="783" t="s">
        <v>4120</v>
      </c>
      <c r="H665" s="763">
        <v>0</v>
      </c>
      <c r="S665" s="765">
        <f t="shared" si="98"/>
        <v>0</v>
      </c>
      <c r="T665" s="84"/>
      <c r="Z665" s="830">
        <f t="shared" si="99"/>
        <v>0</v>
      </c>
      <c r="AA665" s="831">
        <v>0</v>
      </c>
      <c r="AB665" s="84">
        <f t="shared" si="101"/>
        <v>0</v>
      </c>
      <c r="AE665" s="84">
        <f t="shared" si="100"/>
        <v>0</v>
      </c>
    </row>
    <row r="666" spans="1:31" ht="30" hidden="1" x14ac:dyDescent="0.25">
      <c r="A666" s="84"/>
      <c r="B666" s="84"/>
      <c r="C666" s="84"/>
      <c r="D666" s="84"/>
      <c r="E666" s="994"/>
      <c r="F666" s="782">
        <v>499</v>
      </c>
      <c r="G666" s="783" t="s">
        <v>4121</v>
      </c>
      <c r="H666" s="763">
        <v>0</v>
      </c>
      <c r="S666" s="765">
        <f t="shared" si="98"/>
        <v>0</v>
      </c>
      <c r="T666" s="84"/>
      <c r="Z666" s="830">
        <f t="shared" si="99"/>
        <v>0</v>
      </c>
      <c r="AA666" s="831">
        <v>0</v>
      </c>
      <c r="AB666" s="84">
        <f t="shared" si="101"/>
        <v>0</v>
      </c>
      <c r="AE666" s="84">
        <f t="shared" si="100"/>
        <v>0</v>
      </c>
    </row>
    <row r="667" spans="1:31" hidden="1" x14ac:dyDescent="0.25">
      <c r="A667" s="84"/>
      <c r="B667" s="84"/>
      <c r="C667" s="84"/>
      <c r="D667" s="84"/>
      <c r="E667" s="994"/>
      <c r="F667" s="782">
        <v>511</v>
      </c>
      <c r="G667" s="876" t="s">
        <v>4141</v>
      </c>
      <c r="H667" s="763">
        <v>0</v>
      </c>
      <c r="S667" s="765">
        <f t="shared" si="98"/>
        <v>0</v>
      </c>
      <c r="T667" s="84"/>
      <c r="Z667" s="830">
        <f t="shared" si="99"/>
        <v>0</v>
      </c>
      <c r="AA667" s="831">
        <v>0</v>
      </c>
      <c r="AB667" s="84">
        <f t="shared" si="101"/>
        <v>0</v>
      </c>
      <c r="AE667" s="84">
        <f t="shared" si="100"/>
        <v>0</v>
      </c>
    </row>
    <row r="668" spans="1:31" hidden="1" x14ac:dyDescent="0.25">
      <c r="A668" s="84"/>
      <c r="B668" s="84"/>
      <c r="C668" s="84"/>
      <c r="D668" s="84"/>
      <c r="E668" s="994"/>
      <c r="F668" s="782">
        <v>512</v>
      </c>
      <c r="G668" s="876" t="s">
        <v>4142</v>
      </c>
      <c r="H668" s="763">
        <v>0</v>
      </c>
      <c r="S668" s="765">
        <f t="shared" si="98"/>
        <v>0</v>
      </c>
      <c r="T668" s="84"/>
      <c r="Z668" s="830">
        <f t="shared" si="99"/>
        <v>0</v>
      </c>
      <c r="AA668" s="831">
        <v>0</v>
      </c>
      <c r="AB668" s="84">
        <f t="shared" si="101"/>
        <v>0</v>
      </c>
      <c r="AE668" s="84">
        <f t="shared" si="100"/>
        <v>0</v>
      </c>
    </row>
    <row r="669" spans="1:31" hidden="1" x14ac:dyDescent="0.25">
      <c r="A669" s="84"/>
      <c r="B669" s="84"/>
      <c r="C669" s="84"/>
      <c r="D669" s="84"/>
      <c r="E669" s="994"/>
      <c r="F669" s="782">
        <v>513</v>
      </c>
      <c r="G669" s="876" t="s">
        <v>4143</v>
      </c>
      <c r="H669" s="763">
        <v>0</v>
      </c>
      <c r="S669" s="765">
        <f t="shared" si="98"/>
        <v>0</v>
      </c>
      <c r="T669" s="84"/>
      <c r="Z669" s="830">
        <f t="shared" si="99"/>
        <v>0</v>
      </c>
      <c r="AA669" s="831">
        <v>0</v>
      </c>
      <c r="AB669" s="84">
        <f t="shared" si="101"/>
        <v>0</v>
      </c>
      <c r="AE669" s="84">
        <f t="shared" si="100"/>
        <v>0</v>
      </c>
    </row>
    <row r="670" spans="1:31" hidden="1" x14ac:dyDescent="0.25">
      <c r="A670" s="84"/>
      <c r="B670" s="84"/>
      <c r="C670" s="84"/>
      <c r="D670" s="84"/>
      <c r="E670" s="994"/>
      <c r="F670" s="782">
        <v>514</v>
      </c>
      <c r="G670" s="783" t="s">
        <v>4144</v>
      </c>
      <c r="H670" s="763">
        <v>0</v>
      </c>
      <c r="S670" s="765">
        <f t="shared" si="98"/>
        <v>0</v>
      </c>
      <c r="T670" s="84"/>
      <c r="Z670" s="830">
        <f t="shared" si="99"/>
        <v>0</v>
      </c>
      <c r="AA670" s="831">
        <v>0</v>
      </c>
      <c r="AB670" s="84">
        <f t="shared" si="101"/>
        <v>0</v>
      </c>
      <c r="AE670" s="84">
        <f t="shared" si="100"/>
        <v>0</v>
      </c>
    </row>
    <row r="671" spans="1:31" hidden="1" x14ac:dyDescent="0.25">
      <c r="A671" s="84"/>
      <c r="B671" s="84"/>
      <c r="C671" s="84"/>
      <c r="D671" s="84"/>
      <c r="F671" s="782">
        <v>515</v>
      </c>
      <c r="G671" s="783" t="s">
        <v>3836</v>
      </c>
      <c r="H671" s="763">
        <v>0</v>
      </c>
      <c r="S671" s="765">
        <f t="shared" si="98"/>
        <v>0</v>
      </c>
      <c r="T671" s="84"/>
      <c r="Z671" s="830">
        <f t="shared" si="99"/>
        <v>0</v>
      </c>
      <c r="AA671" s="831">
        <v>0</v>
      </c>
      <c r="AB671" s="84">
        <f t="shared" si="101"/>
        <v>0</v>
      </c>
      <c r="AE671" s="84">
        <f t="shared" si="100"/>
        <v>0</v>
      </c>
    </row>
    <row r="672" spans="1:31" hidden="1" x14ac:dyDescent="0.25">
      <c r="A672" s="84"/>
      <c r="B672" s="84"/>
      <c r="C672" s="84"/>
      <c r="D672" s="84"/>
      <c r="F672" s="782">
        <v>521</v>
      </c>
      <c r="G672" s="783" t="s">
        <v>4145</v>
      </c>
      <c r="H672" s="763">
        <v>0</v>
      </c>
      <c r="S672" s="765">
        <f t="shared" si="98"/>
        <v>0</v>
      </c>
      <c r="T672" s="84"/>
      <c r="Z672" s="830">
        <f t="shared" si="99"/>
        <v>0</v>
      </c>
      <c r="AA672" s="831">
        <v>0</v>
      </c>
      <c r="AB672" s="84">
        <f t="shared" si="101"/>
        <v>0</v>
      </c>
      <c r="AE672" s="84">
        <f t="shared" si="100"/>
        <v>0</v>
      </c>
    </row>
    <row r="673" spans="1:31" hidden="1" x14ac:dyDescent="0.25">
      <c r="A673" s="84"/>
      <c r="B673" s="84"/>
      <c r="C673" s="84"/>
      <c r="D673" s="84"/>
      <c r="F673" s="782">
        <v>522</v>
      </c>
      <c r="G673" s="783" t="s">
        <v>4146</v>
      </c>
      <c r="H673" s="763">
        <v>0</v>
      </c>
      <c r="S673" s="765">
        <f t="shared" si="98"/>
        <v>0</v>
      </c>
      <c r="T673" s="84"/>
      <c r="Z673" s="830">
        <f t="shared" si="99"/>
        <v>0</v>
      </c>
      <c r="AA673" s="831">
        <v>0</v>
      </c>
      <c r="AB673" s="84">
        <f t="shared" si="101"/>
        <v>0</v>
      </c>
      <c r="AE673" s="84">
        <f t="shared" si="100"/>
        <v>0</v>
      </c>
    </row>
    <row r="674" spans="1:31" hidden="1" x14ac:dyDescent="0.25">
      <c r="A674" s="84"/>
      <c r="B674" s="84"/>
      <c r="C674" s="84"/>
      <c r="D674" s="84"/>
      <c r="F674" s="782">
        <v>523</v>
      </c>
      <c r="G674" s="783" t="s">
        <v>3841</v>
      </c>
      <c r="H674" s="763">
        <v>0</v>
      </c>
      <c r="S674" s="765">
        <f t="shared" si="98"/>
        <v>0</v>
      </c>
      <c r="T674" s="84"/>
      <c r="Z674" s="830">
        <f t="shared" si="99"/>
        <v>0</v>
      </c>
      <c r="AA674" s="831">
        <v>0</v>
      </c>
      <c r="AB674" s="84">
        <f t="shared" si="101"/>
        <v>0</v>
      </c>
      <c r="AE674" s="84">
        <f t="shared" si="100"/>
        <v>0</v>
      </c>
    </row>
    <row r="675" spans="1:31" hidden="1" x14ac:dyDescent="0.25">
      <c r="A675" s="84"/>
      <c r="B675" s="84"/>
      <c r="C675" s="84"/>
      <c r="D675" s="84"/>
      <c r="F675" s="782">
        <v>531</v>
      </c>
      <c r="G675" s="783" t="s">
        <v>4122</v>
      </c>
      <c r="H675" s="763">
        <v>0</v>
      </c>
      <c r="S675" s="765">
        <f t="shared" si="98"/>
        <v>0</v>
      </c>
      <c r="T675" s="84"/>
      <c r="Z675" s="830">
        <f t="shared" si="99"/>
        <v>0</v>
      </c>
      <c r="AA675" s="831">
        <v>0</v>
      </c>
      <c r="AB675" s="84">
        <f t="shared" si="101"/>
        <v>0</v>
      </c>
      <c r="AE675" s="84">
        <f t="shared" si="100"/>
        <v>0</v>
      </c>
    </row>
    <row r="676" spans="1:31" hidden="1" x14ac:dyDescent="0.25">
      <c r="A676" s="84"/>
      <c r="B676" s="84"/>
      <c r="C676" s="84"/>
      <c r="D676" s="84"/>
      <c r="F676" s="782">
        <v>541</v>
      </c>
      <c r="G676" s="783" t="s">
        <v>4147</v>
      </c>
      <c r="H676" s="763">
        <v>0</v>
      </c>
      <c r="S676" s="765">
        <f t="shared" si="98"/>
        <v>0</v>
      </c>
      <c r="T676" s="84"/>
      <c r="Z676" s="830">
        <f t="shared" si="99"/>
        <v>0</v>
      </c>
      <c r="AA676" s="831">
        <v>0</v>
      </c>
      <c r="AB676" s="84">
        <f t="shared" si="101"/>
        <v>0</v>
      </c>
      <c r="AE676" s="84">
        <f t="shared" si="100"/>
        <v>0</v>
      </c>
    </row>
    <row r="677" spans="1:31" hidden="1" x14ac:dyDescent="0.25">
      <c r="A677" s="84"/>
      <c r="B677" s="84"/>
      <c r="C677" s="84"/>
      <c r="D677" s="84"/>
      <c r="F677" s="782">
        <v>542</v>
      </c>
      <c r="G677" s="783" t="s">
        <v>4148</v>
      </c>
      <c r="H677" s="763">
        <v>0</v>
      </c>
      <c r="S677" s="765">
        <f t="shared" si="98"/>
        <v>0</v>
      </c>
      <c r="T677" s="84"/>
      <c r="Z677" s="830">
        <f t="shared" si="99"/>
        <v>0</v>
      </c>
      <c r="AA677" s="831">
        <v>0</v>
      </c>
      <c r="AB677" s="84">
        <f t="shared" si="101"/>
        <v>0</v>
      </c>
      <c r="AE677" s="84">
        <f t="shared" si="100"/>
        <v>0</v>
      </c>
    </row>
    <row r="678" spans="1:31" hidden="1" x14ac:dyDescent="0.25">
      <c r="A678" s="84"/>
      <c r="B678" s="84"/>
      <c r="C678" s="84"/>
      <c r="D678" s="84"/>
      <c r="F678" s="782">
        <v>543</v>
      </c>
      <c r="G678" s="783" t="s">
        <v>3846</v>
      </c>
      <c r="H678" s="763">
        <v>0</v>
      </c>
      <c r="S678" s="765">
        <f t="shared" si="98"/>
        <v>0</v>
      </c>
      <c r="T678" s="84"/>
      <c r="Z678" s="830">
        <f t="shared" si="99"/>
        <v>0</v>
      </c>
      <c r="AA678" s="831">
        <v>0</v>
      </c>
      <c r="AB678" s="84">
        <f t="shared" si="101"/>
        <v>0</v>
      </c>
      <c r="AE678" s="84">
        <f t="shared" si="100"/>
        <v>0</v>
      </c>
    </row>
    <row r="679" spans="1:31" ht="45" hidden="1" x14ac:dyDescent="0.25">
      <c r="A679" s="84"/>
      <c r="B679" s="84"/>
      <c r="C679" s="84"/>
      <c r="D679" s="84"/>
      <c r="F679" s="782">
        <v>551</v>
      </c>
      <c r="G679" s="783" t="s">
        <v>4123</v>
      </c>
      <c r="H679" s="763">
        <v>0</v>
      </c>
      <c r="S679" s="765">
        <f t="shared" si="98"/>
        <v>0</v>
      </c>
      <c r="T679" s="84"/>
      <c r="Z679" s="830">
        <f t="shared" si="99"/>
        <v>0</v>
      </c>
      <c r="AA679" s="831">
        <v>0</v>
      </c>
      <c r="AB679" s="84">
        <f t="shared" si="101"/>
        <v>0</v>
      </c>
      <c r="AE679" s="84">
        <f t="shared" si="100"/>
        <v>0</v>
      </c>
    </row>
    <row r="680" spans="1:31" ht="15.75" thickBot="1" x14ac:dyDescent="0.3">
      <c r="A680" s="84"/>
      <c r="B680" s="84"/>
      <c r="C680" s="84"/>
      <c r="D680" s="84"/>
      <c r="E680" s="760" t="s">
        <v>5215</v>
      </c>
      <c r="F680" s="785">
        <v>611</v>
      </c>
      <c r="G680" s="876" t="s">
        <v>3852</v>
      </c>
      <c r="H680" s="763">
        <v>3770000</v>
      </c>
      <c r="I680" s="763">
        <v>152968.07999999999</v>
      </c>
      <c r="J680" s="764">
        <f>I680/H680</f>
        <v>4.0575087533156494E-2</v>
      </c>
      <c r="K680" s="763">
        <f>H680-I680</f>
        <v>3617031.92</v>
      </c>
      <c r="L680" s="765">
        <v>0</v>
      </c>
      <c r="M680" s="765">
        <v>0</v>
      </c>
      <c r="O680" s="765">
        <f>L680-M680</f>
        <v>0</v>
      </c>
      <c r="P680" s="765">
        <f>L680+H680</f>
        <v>3770000</v>
      </c>
      <c r="Q680" s="765">
        <f>M680+I680</f>
        <v>152968.07999999999</v>
      </c>
      <c r="R680" s="766">
        <f>Q680/P680</f>
        <v>4.0575087533156494E-2</v>
      </c>
      <c r="S680" s="765">
        <f>P680-Q680</f>
        <v>3617031.92</v>
      </c>
      <c r="T680" s="84"/>
      <c r="V680" s="203">
        <f>1100000+152968.08</f>
        <v>1252968.08</v>
      </c>
      <c r="W680" s="203">
        <f>H680-V680</f>
        <v>2517031.92</v>
      </c>
      <c r="X680" s="833">
        <v>2747000</v>
      </c>
      <c r="Z680" s="830">
        <f t="shared" si="99"/>
        <v>1023000</v>
      </c>
      <c r="AA680" s="831">
        <v>4000000</v>
      </c>
      <c r="AB680" s="84">
        <f t="shared" si="101"/>
        <v>-2977000</v>
      </c>
      <c r="AE680" s="84">
        <f t="shared" si="100"/>
        <v>-230000</v>
      </c>
    </row>
    <row r="681" spans="1:31" ht="15.75" hidden="1" thickBot="1" x14ac:dyDescent="0.3">
      <c r="A681" s="84"/>
      <c r="B681" s="84"/>
      <c r="C681" s="84"/>
      <c r="D681" s="84"/>
      <c r="F681" s="785">
        <v>620</v>
      </c>
      <c r="G681" s="876" t="s">
        <v>89</v>
      </c>
      <c r="S681" s="765">
        <f t="shared" si="98"/>
        <v>0</v>
      </c>
      <c r="T681" s="84"/>
      <c r="AB681" s="84">
        <f t="shared" si="101"/>
        <v>0</v>
      </c>
    </row>
    <row r="682" spans="1:31" x14ac:dyDescent="0.25">
      <c r="A682" s="84"/>
      <c r="B682" s="84"/>
      <c r="C682" s="84"/>
      <c r="D682" s="84"/>
      <c r="E682" s="784"/>
      <c r="F682" s="785"/>
      <c r="G682" s="786" t="s">
        <v>4999</v>
      </c>
      <c r="H682" s="787"/>
      <c r="I682" s="787"/>
      <c r="J682" s="788"/>
      <c r="K682" s="787"/>
      <c r="L682" s="789"/>
      <c r="M682" s="789"/>
      <c r="N682" s="790"/>
      <c r="O682" s="789"/>
      <c r="P682" s="789"/>
      <c r="Q682" s="789"/>
      <c r="R682" s="790"/>
      <c r="S682" s="877"/>
      <c r="T682" s="84"/>
      <c r="AB682" s="84">
        <f t="shared" si="101"/>
        <v>0</v>
      </c>
    </row>
    <row r="683" spans="1:31" ht="15.75" thickBot="1" x14ac:dyDescent="0.3">
      <c r="A683" s="84"/>
      <c r="B683" s="84"/>
      <c r="C683" s="84"/>
      <c r="D683" s="84"/>
      <c r="E683" s="791"/>
      <c r="F683" s="792" t="s">
        <v>235</v>
      </c>
      <c r="G683" s="793" t="s">
        <v>236</v>
      </c>
      <c r="H683" s="794">
        <f>SUM(H622:H681)</f>
        <v>4690000</v>
      </c>
      <c r="I683" s="794">
        <f t="shared" ref="I683:S683" si="102">SUM(I622:I681)</f>
        <v>368782.57999999996</v>
      </c>
      <c r="J683" s="795">
        <f>I683/H683</f>
        <v>7.8631680170575688E-2</v>
      </c>
      <c r="K683" s="794">
        <f t="shared" si="102"/>
        <v>4321217.42</v>
      </c>
      <c r="L683" s="796">
        <f t="shared" si="102"/>
        <v>0</v>
      </c>
      <c r="M683" s="796">
        <f t="shared" si="102"/>
        <v>0</v>
      </c>
      <c r="N683" s="797"/>
      <c r="O683" s="796">
        <f t="shared" si="102"/>
        <v>0</v>
      </c>
      <c r="P683" s="796">
        <f>SUM(P622:P681)</f>
        <v>4690000</v>
      </c>
      <c r="Q683" s="796">
        <f t="shared" si="102"/>
        <v>329582.57999999996</v>
      </c>
      <c r="R683" s="797">
        <f>Q683/P683</f>
        <v>7.027347121535181E-2</v>
      </c>
      <c r="S683" s="796">
        <f t="shared" si="102"/>
        <v>4545417.6318918914</v>
      </c>
      <c r="T683" s="84"/>
      <c r="AB683" s="84">
        <f t="shared" si="101"/>
        <v>0</v>
      </c>
    </row>
    <row r="684" spans="1:31" ht="15.75" hidden="1" thickBot="1" x14ac:dyDescent="0.3">
      <c r="A684" s="84"/>
      <c r="B684" s="84"/>
      <c r="C684" s="84"/>
      <c r="D684" s="84"/>
      <c r="F684" s="792" t="s">
        <v>237</v>
      </c>
      <c r="G684" s="793" t="s">
        <v>238</v>
      </c>
      <c r="S684" s="796">
        <f t="shared" ref="S684:S698" si="103">SUM(H684:L684)</f>
        <v>0</v>
      </c>
      <c r="T684" s="84"/>
      <c r="AB684" s="84">
        <f t="shared" si="101"/>
        <v>0</v>
      </c>
    </row>
    <row r="685" spans="1:31" ht="15.75" hidden="1" thickBot="1" x14ac:dyDescent="0.3">
      <c r="A685" s="84"/>
      <c r="B685" s="84"/>
      <c r="C685" s="84"/>
      <c r="D685" s="84"/>
      <c r="F685" s="792" t="s">
        <v>239</v>
      </c>
      <c r="G685" s="793" t="s">
        <v>240</v>
      </c>
      <c r="S685" s="796">
        <f t="shared" si="103"/>
        <v>0</v>
      </c>
      <c r="T685" s="84"/>
      <c r="AB685" s="84">
        <f t="shared" si="101"/>
        <v>0</v>
      </c>
    </row>
    <row r="686" spans="1:31" ht="15.75" hidden="1" thickBot="1" x14ac:dyDescent="0.3">
      <c r="A686" s="84"/>
      <c r="B686" s="84"/>
      <c r="C686" s="84"/>
      <c r="D686" s="84"/>
      <c r="F686" s="792" t="s">
        <v>241</v>
      </c>
      <c r="G686" s="793" t="s">
        <v>242</v>
      </c>
      <c r="S686" s="796">
        <f t="shared" si="103"/>
        <v>0</v>
      </c>
      <c r="T686" s="84"/>
      <c r="AB686" s="84">
        <f t="shared" si="101"/>
        <v>0</v>
      </c>
    </row>
    <row r="687" spans="1:31" ht="15.75" hidden="1" thickBot="1" x14ac:dyDescent="0.3">
      <c r="A687" s="84"/>
      <c r="B687" s="84"/>
      <c r="C687" s="84"/>
      <c r="D687" s="84"/>
      <c r="F687" s="792" t="s">
        <v>243</v>
      </c>
      <c r="G687" s="793" t="s">
        <v>244</v>
      </c>
      <c r="S687" s="796">
        <f t="shared" si="103"/>
        <v>0</v>
      </c>
      <c r="T687" s="84"/>
      <c r="AB687" s="84">
        <f t="shared" si="101"/>
        <v>0</v>
      </c>
    </row>
    <row r="688" spans="1:31" ht="15.75" hidden="1" thickBot="1" x14ac:dyDescent="0.3">
      <c r="A688" s="84"/>
      <c r="B688" s="84"/>
      <c r="C688" s="84"/>
      <c r="D688" s="84"/>
      <c r="F688" s="792" t="s">
        <v>245</v>
      </c>
      <c r="G688" s="793" t="s">
        <v>246</v>
      </c>
      <c r="S688" s="796">
        <f t="shared" si="103"/>
        <v>0</v>
      </c>
      <c r="T688" s="84"/>
      <c r="AB688" s="84">
        <f t="shared" si="101"/>
        <v>0</v>
      </c>
    </row>
    <row r="689" spans="1:28" ht="15.75" hidden="1" thickBot="1" x14ac:dyDescent="0.3">
      <c r="A689" s="84"/>
      <c r="B689" s="84"/>
      <c r="C689" s="84"/>
      <c r="D689" s="84"/>
      <c r="F689" s="792" t="s">
        <v>247</v>
      </c>
      <c r="G689" s="793" t="s">
        <v>4745</v>
      </c>
      <c r="S689" s="796">
        <f t="shared" si="103"/>
        <v>0</v>
      </c>
      <c r="T689" s="84"/>
      <c r="AB689" s="84">
        <f t="shared" si="101"/>
        <v>0</v>
      </c>
    </row>
    <row r="690" spans="1:28" ht="30.75" hidden="1" thickBot="1" x14ac:dyDescent="0.3">
      <c r="A690" s="84"/>
      <c r="B690" s="84"/>
      <c r="C690" s="84"/>
      <c r="D690" s="84"/>
      <c r="F690" s="792" t="s">
        <v>248</v>
      </c>
      <c r="G690" s="793" t="s">
        <v>4744</v>
      </c>
      <c r="S690" s="796">
        <f t="shared" si="103"/>
        <v>0</v>
      </c>
      <c r="T690" s="84"/>
      <c r="AB690" s="84">
        <f t="shared" si="101"/>
        <v>0</v>
      </c>
    </row>
    <row r="691" spans="1:28" ht="15.75" hidden="1" thickBot="1" x14ac:dyDescent="0.3">
      <c r="A691" s="84"/>
      <c r="B691" s="84"/>
      <c r="C691" s="84"/>
      <c r="D691" s="84"/>
      <c r="F691" s="792" t="s">
        <v>249</v>
      </c>
      <c r="G691" s="793" t="s">
        <v>58</v>
      </c>
      <c r="S691" s="796">
        <f t="shared" si="103"/>
        <v>0</v>
      </c>
      <c r="T691" s="84"/>
      <c r="AB691" s="84">
        <f t="shared" si="101"/>
        <v>0</v>
      </c>
    </row>
    <row r="692" spans="1:28" ht="15.75" hidden="1" thickBot="1" x14ac:dyDescent="0.3">
      <c r="A692" s="84"/>
      <c r="B692" s="84"/>
      <c r="C692" s="84"/>
      <c r="D692" s="84"/>
      <c r="F692" s="792" t="s">
        <v>250</v>
      </c>
      <c r="G692" s="793" t="s">
        <v>251</v>
      </c>
      <c r="S692" s="796">
        <f t="shared" si="103"/>
        <v>0</v>
      </c>
      <c r="T692" s="84"/>
      <c r="AB692" s="84">
        <f t="shared" si="101"/>
        <v>0</v>
      </c>
    </row>
    <row r="693" spans="1:28" ht="15.75" hidden="1" thickBot="1" x14ac:dyDescent="0.3">
      <c r="A693" s="84"/>
      <c r="B693" s="84"/>
      <c r="C693" s="84"/>
      <c r="D693" s="84"/>
      <c r="F693" s="792" t="s">
        <v>252</v>
      </c>
      <c r="G693" s="793" t="s">
        <v>253</v>
      </c>
      <c r="S693" s="796">
        <f t="shared" si="103"/>
        <v>0</v>
      </c>
      <c r="T693" s="84"/>
      <c r="AB693" s="84">
        <f t="shared" si="101"/>
        <v>0</v>
      </c>
    </row>
    <row r="694" spans="1:28" ht="30.75" hidden="1" thickBot="1" x14ac:dyDescent="0.3">
      <c r="A694" s="84"/>
      <c r="B694" s="84"/>
      <c r="C694" s="84"/>
      <c r="D694" s="84"/>
      <c r="F694" s="792" t="s">
        <v>254</v>
      </c>
      <c r="G694" s="793" t="s">
        <v>255</v>
      </c>
      <c r="S694" s="796">
        <f t="shared" si="103"/>
        <v>0</v>
      </c>
      <c r="T694" s="84"/>
      <c r="AB694" s="84">
        <f t="shared" si="101"/>
        <v>0</v>
      </c>
    </row>
    <row r="695" spans="1:28" ht="15.75" hidden="1" thickBot="1" x14ac:dyDescent="0.3">
      <c r="A695" s="84"/>
      <c r="B695" s="84"/>
      <c r="C695" s="84"/>
      <c r="D695" s="84"/>
      <c r="F695" s="792" t="s">
        <v>256</v>
      </c>
      <c r="G695" s="793" t="s">
        <v>257</v>
      </c>
      <c r="S695" s="796">
        <f t="shared" si="103"/>
        <v>0</v>
      </c>
      <c r="T695" s="84"/>
      <c r="AB695" s="84">
        <f t="shared" si="101"/>
        <v>0</v>
      </c>
    </row>
    <row r="696" spans="1:28" ht="30.75" hidden="1" thickBot="1" x14ac:dyDescent="0.3">
      <c r="A696" s="84"/>
      <c r="B696" s="84"/>
      <c r="C696" s="84"/>
      <c r="D696" s="84"/>
      <c r="F696" s="792" t="s">
        <v>258</v>
      </c>
      <c r="G696" s="793" t="s">
        <v>259</v>
      </c>
      <c r="S696" s="796">
        <f t="shared" si="103"/>
        <v>0</v>
      </c>
      <c r="T696" s="84"/>
      <c r="AB696" s="84">
        <f t="shared" si="101"/>
        <v>0</v>
      </c>
    </row>
    <row r="697" spans="1:28" ht="30.75" hidden="1" thickBot="1" x14ac:dyDescent="0.3">
      <c r="A697" s="84"/>
      <c r="B697" s="84"/>
      <c r="C697" s="84"/>
      <c r="D697" s="84"/>
      <c r="F697" s="792" t="s">
        <v>260</v>
      </c>
      <c r="G697" s="793" t="s">
        <v>261</v>
      </c>
      <c r="S697" s="796">
        <f t="shared" si="103"/>
        <v>0</v>
      </c>
      <c r="T697" s="84"/>
      <c r="AB697" s="84">
        <f t="shared" si="101"/>
        <v>0</v>
      </c>
    </row>
    <row r="698" spans="1:28" ht="15.75" hidden="1" thickBot="1" x14ac:dyDescent="0.3">
      <c r="A698" s="84"/>
      <c r="B698" s="84"/>
      <c r="C698" s="84"/>
      <c r="D698" s="84"/>
      <c r="F698" s="792" t="s">
        <v>262</v>
      </c>
      <c r="G698" s="793" t="s">
        <v>263</v>
      </c>
      <c r="H698" s="794"/>
      <c r="I698" s="794"/>
      <c r="J698" s="795"/>
      <c r="K698" s="794"/>
      <c r="L698" s="796"/>
      <c r="M698" s="796"/>
      <c r="N698" s="797"/>
      <c r="O698" s="796"/>
      <c r="P698" s="796"/>
      <c r="Q698" s="796"/>
      <c r="R698" s="797"/>
      <c r="S698" s="796">
        <f t="shared" si="103"/>
        <v>0</v>
      </c>
      <c r="T698" s="84"/>
      <c r="AB698" s="84">
        <f t="shared" si="101"/>
        <v>0</v>
      </c>
    </row>
    <row r="699" spans="1:28" ht="15.75" thickBot="1" x14ac:dyDescent="0.3">
      <c r="A699" s="84"/>
      <c r="B699" s="84"/>
      <c r="C699" s="84"/>
      <c r="D699" s="84"/>
      <c r="G699" s="798" t="s">
        <v>5000</v>
      </c>
      <c r="H699" s="799">
        <f>SUM(H683:H698)</f>
        <v>4690000</v>
      </c>
      <c r="I699" s="799">
        <f t="shared" ref="I699:S699" si="104">SUM(I683:I698)</f>
        <v>368782.57999999996</v>
      </c>
      <c r="J699" s="800">
        <f t="shared" si="104"/>
        <v>7.8631680170575688E-2</v>
      </c>
      <c r="K699" s="799">
        <f t="shared" si="104"/>
        <v>4321217.42</v>
      </c>
      <c r="L699" s="801">
        <f t="shared" si="104"/>
        <v>0</v>
      </c>
      <c r="M699" s="801">
        <f t="shared" si="104"/>
        <v>0</v>
      </c>
      <c r="N699" s="802"/>
      <c r="O699" s="801">
        <f t="shared" si="104"/>
        <v>0</v>
      </c>
      <c r="P699" s="801">
        <f t="shared" si="104"/>
        <v>4690000</v>
      </c>
      <c r="Q699" s="801">
        <f t="shared" si="104"/>
        <v>329582.57999999996</v>
      </c>
      <c r="R699" s="802">
        <f t="shared" si="104"/>
        <v>7.027347121535181E-2</v>
      </c>
      <c r="S699" s="801">
        <f t="shared" si="104"/>
        <v>4545417.6318918914</v>
      </c>
      <c r="T699" s="84"/>
      <c r="AB699" s="84">
        <f t="shared" si="101"/>
        <v>0</v>
      </c>
    </row>
    <row r="700" spans="1:28" ht="28.5" x14ac:dyDescent="0.25">
      <c r="A700" s="84"/>
      <c r="B700" s="84"/>
      <c r="C700" s="84"/>
      <c r="D700" s="84"/>
      <c r="E700" s="784"/>
      <c r="F700" s="785"/>
      <c r="G700" s="803" t="s">
        <v>4193</v>
      </c>
      <c r="H700" s="804"/>
      <c r="I700" s="805"/>
      <c r="J700" s="806"/>
      <c r="K700" s="805"/>
      <c r="L700" s="807"/>
      <c r="M700" s="808"/>
      <c r="N700" s="809"/>
      <c r="O700" s="808"/>
      <c r="P700" s="808"/>
      <c r="Q700" s="808"/>
      <c r="R700" s="809"/>
      <c r="S700" s="878"/>
      <c r="T700" s="84"/>
      <c r="AB700" s="84">
        <f t="shared" si="101"/>
        <v>0</v>
      </c>
    </row>
    <row r="701" spans="1:28" ht="15.75" thickBot="1" x14ac:dyDescent="0.3">
      <c r="A701" s="84"/>
      <c r="B701" s="84"/>
      <c r="C701" s="84"/>
      <c r="D701" s="84"/>
      <c r="E701" s="791"/>
      <c r="F701" s="792" t="s">
        <v>235</v>
      </c>
      <c r="G701" s="793" t="s">
        <v>236</v>
      </c>
      <c r="H701" s="794">
        <f>SUM(H622:H681)</f>
        <v>4690000</v>
      </c>
      <c r="I701" s="794">
        <f t="shared" ref="I701:S701" si="105">SUM(I622:I681)</f>
        <v>368782.57999999996</v>
      </c>
      <c r="J701" s="795">
        <f>I701/H701</f>
        <v>7.8631680170575688E-2</v>
      </c>
      <c r="K701" s="794">
        <f t="shared" si="105"/>
        <v>4321217.42</v>
      </c>
      <c r="L701" s="796">
        <f t="shared" si="105"/>
        <v>0</v>
      </c>
      <c r="M701" s="796">
        <f t="shared" si="105"/>
        <v>0</v>
      </c>
      <c r="N701" s="797"/>
      <c r="O701" s="796">
        <f t="shared" si="105"/>
        <v>0</v>
      </c>
      <c r="P701" s="796">
        <f t="shared" si="105"/>
        <v>4690000</v>
      </c>
      <c r="Q701" s="796">
        <f t="shared" si="105"/>
        <v>329582.57999999996</v>
      </c>
      <c r="R701" s="797">
        <f>Q701/P701</f>
        <v>7.027347121535181E-2</v>
      </c>
      <c r="S701" s="796">
        <f t="shared" si="105"/>
        <v>4545417.6318918914</v>
      </c>
      <c r="T701" s="84"/>
      <c r="AB701" s="84">
        <f t="shared" si="101"/>
        <v>0</v>
      </c>
    </row>
    <row r="702" spans="1:28" ht="15.75" hidden="1" thickBot="1" x14ac:dyDescent="0.3">
      <c r="A702" s="84"/>
      <c r="B702" s="84"/>
      <c r="C702" s="84"/>
      <c r="D702" s="84"/>
      <c r="F702" s="792" t="s">
        <v>237</v>
      </c>
      <c r="G702" s="793" t="s">
        <v>238</v>
      </c>
      <c r="S702" s="796">
        <f t="shared" ref="S702:S716" si="106">SUM(H702:L702)</f>
        <v>0</v>
      </c>
      <c r="T702" s="84"/>
      <c r="AB702" s="84">
        <f t="shared" si="101"/>
        <v>0</v>
      </c>
    </row>
    <row r="703" spans="1:28" ht="15.75" hidden="1" thickBot="1" x14ac:dyDescent="0.3">
      <c r="A703" s="84"/>
      <c r="B703" s="84"/>
      <c r="F703" s="792" t="s">
        <v>239</v>
      </c>
      <c r="G703" s="793" t="s">
        <v>240</v>
      </c>
      <c r="S703" s="796">
        <f t="shared" si="106"/>
        <v>0</v>
      </c>
      <c r="T703" s="84"/>
      <c r="AB703" s="84">
        <f t="shared" si="101"/>
        <v>0</v>
      </c>
    </row>
    <row r="704" spans="1:28" ht="15.75" hidden="1" thickBot="1" x14ac:dyDescent="0.3">
      <c r="A704" s="84"/>
      <c r="B704" s="84"/>
      <c r="F704" s="792" t="s">
        <v>241</v>
      </c>
      <c r="G704" s="793" t="s">
        <v>242</v>
      </c>
      <c r="S704" s="796">
        <f t="shared" si="106"/>
        <v>0</v>
      </c>
      <c r="T704" s="84"/>
      <c r="AB704" s="84">
        <f t="shared" si="101"/>
        <v>0</v>
      </c>
    </row>
    <row r="705" spans="1:28" ht="15.75" hidden="1" thickBot="1" x14ac:dyDescent="0.3">
      <c r="A705" s="84"/>
      <c r="B705" s="84"/>
      <c r="F705" s="792" t="s">
        <v>243</v>
      </c>
      <c r="G705" s="793" t="s">
        <v>244</v>
      </c>
      <c r="S705" s="796">
        <f t="shared" si="106"/>
        <v>0</v>
      </c>
      <c r="T705" s="84"/>
      <c r="AB705" s="84">
        <f t="shared" si="101"/>
        <v>0</v>
      </c>
    </row>
    <row r="706" spans="1:28" ht="15.75" hidden="1" thickBot="1" x14ac:dyDescent="0.3">
      <c r="A706" s="84"/>
      <c r="B706" s="84"/>
      <c r="F706" s="792" t="s">
        <v>245</v>
      </c>
      <c r="G706" s="793" t="s">
        <v>246</v>
      </c>
      <c r="S706" s="796">
        <f t="shared" si="106"/>
        <v>0</v>
      </c>
      <c r="T706" s="84"/>
      <c r="AB706" s="84">
        <f t="shared" si="101"/>
        <v>0</v>
      </c>
    </row>
    <row r="707" spans="1:28" ht="15.75" hidden="1" thickBot="1" x14ac:dyDescent="0.3">
      <c r="A707" s="84"/>
      <c r="B707" s="84"/>
      <c r="F707" s="792" t="s">
        <v>247</v>
      </c>
      <c r="G707" s="793" t="s">
        <v>4745</v>
      </c>
      <c r="S707" s="796">
        <f t="shared" si="106"/>
        <v>0</v>
      </c>
      <c r="T707" s="84"/>
      <c r="AB707" s="84">
        <f t="shared" si="101"/>
        <v>0</v>
      </c>
    </row>
    <row r="708" spans="1:28" ht="30.75" hidden="1" thickBot="1" x14ac:dyDescent="0.3">
      <c r="A708" s="84"/>
      <c r="B708" s="84"/>
      <c r="F708" s="792" t="s">
        <v>248</v>
      </c>
      <c r="G708" s="793" t="s">
        <v>4744</v>
      </c>
      <c r="S708" s="796">
        <f t="shared" si="106"/>
        <v>0</v>
      </c>
      <c r="T708" s="84"/>
      <c r="AB708" s="84">
        <f t="shared" si="101"/>
        <v>0</v>
      </c>
    </row>
    <row r="709" spans="1:28" ht="15.75" hidden="1" thickBot="1" x14ac:dyDescent="0.3">
      <c r="A709" s="84"/>
      <c r="B709" s="84"/>
      <c r="F709" s="792" t="s">
        <v>249</v>
      </c>
      <c r="G709" s="793" t="s">
        <v>58</v>
      </c>
      <c r="S709" s="796">
        <f t="shared" si="106"/>
        <v>0</v>
      </c>
      <c r="T709" s="84"/>
      <c r="AB709" s="84">
        <f t="shared" si="101"/>
        <v>0</v>
      </c>
    </row>
    <row r="710" spans="1:28" ht="15.75" hidden="1" thickBot="1" x14ac:dyDescent="0.3">
      <c r="A710" s="84"/>
      <c r="B710" s="84"/>
      <c r="F710" s="792" t="s">
        <v>250</v>
      </c>
      <c r="G710" s="793" t="s">
        <v>251</v>
      </c>
      <c r="S710" s="796">
        <f t="shared" si="106"/>
        <v>0</v>
      </c>
      <c r="T710" s="84"/>
      <c r="AB710" s="84">
        <f t="shared" si="101"/>
        <v>0</v>
      </c>
    </row>
    <row r="711" spans="1:28" ht="15.75" hidden="1" thickBot="1" x14ac:dyDescent="0.3">
      <c r="A711" s="84"/>
      <c r="B711" s="84"/>
      <c r="F711" s="792" t="s">
        <v>252</v>
      </c>
      <c r="G711" s="793" t="s">
        <v>253</v>
      </c>
      <c r="S711" s="796">
        <f t="shared" si="106"/>
        <v>0</v>
      </c>
      <c r="T711" s="84"/>
      <c r="AB711" s="84">
        <f t="shared" si="101"/>
        <v>0</v>
      </c>
    </row>
    <row r="712" spans="1:28" ht="30.75" hidden="1" thickBot="1" x14ac:dyDescent="0.3">
      <c r="A712" s="84"/>
      <c r="B712" s="84"/>
      <c r="F712" s="792" t="s">
        <v>254</v>
      </c>
      <c r="G712" s="793" t="s">
        <v>255</v>
      </c>
      <c r="S712" s="796">
        <f t="shared" si="106"/>
        <v>0</v>
      </c>
      <c r="T712" s="84"/>
      <c r="AB712" s="84">
        <f t="shared" si="101"/>
        <v>0</v>
      </c>
    </row>
    <row r="713" spans="1:28" ht="15.75" hidden="1" thickBot="1" x14ac:dyDescent="0.3">
      <c r="A713" s="84"/>
      <c r="B713" s="84"/>
      <c r="F713" s="792" t="s">
        <v>256</v>
      </c>
      <c r="G713" s="793" t="s">
        <v>257</v>
      </c>
      <c r="S713" s="796">
        <f t="shared" si="106"/>
        <v>0</v>
      </c>
      <c r="T713" s="84"/>
      <c r="AB713" s="84">
        <f t="shared" si="101"/>
        <v>0</v>
      </c>
    </row>
    <row r="714" spans="1:28" ht="30.75" hidden="1" thickBot="1" x14ac:dyDescent="0.3">
      <c r="A714" s="84"/>
      <c r="B714" s="84"/>
      <c r="F714" s="792" t="s">
        <v>258</v>
      </c>
      <c r="G714" s="793" t="s">
        <v>259</v>
      </c>
      <c r="S714" s="796">
        <f t="shared" si="106"/>
        <v>0</v>
      </c>
      <c r="T714" s="84"/>
      <c r="AB714" s="84">
        <f t="shared" si="101"/>
        <v>0</v>
      </c>
    </row>
    <row r="715" spans="1:28" ht="30.75" hidden="1" thickBot="1" x14ac:dyDescent="0.3">
      <c r="A715" s="84"/>
      <c r="B715" s="84"/>
      <c r="F715" s="792" t="s">
        <v>260</v>
      </c>
      <c r="G715" s="793" t="s">
        <v>261</v>
      </c>
      <c r="S715" s="796">
        <f t="shared" si="106"/>
        <v>0</v>
      </c>
      <c r="T715" s="84"/>
      <c r="AB715" s="84">
        <f t="shared" ref="AB715:AB792" si="107">Z715-AA715</f>
        <v>0</v>
      </c>
    </row>
    <row r="716" spans="1:28" ht="15.75" hidden="1" thickBot="1" x14ac:dyDescent="0.3">
      <c r="A716" s="84"/>
      <c r="B716" s="84"/>
      <c r="F716" s="792" t="s">
        <v>262</v>
      </c>
      <c r="G716" s="793" t="s">
        <v>263</v>
      </c>
      <c r="H716" s="794"/>
      <c r="I716" s="794"/>
      <c r="J716" s="795"/>
      <c r="K716" s="794"/>
      <c r="L716" s="796"/>
      <c r="M716" s="796"/>
      <c r="N716" s="797"/>
      <c r="O716" s="796"/>
      <c r="P716" s="796"/>
      <c r="Q716" s="796"/>
      <c r="R716" s="797"/>
      <c r="S716" s="796">
        <f t="shared" si="106"/>
        <v>0</v>
      </c>
      <c r="T716" s="84"/>
      <c r="AB716" s="84">
        <f t="shared" si="107"/>
        <v>0</v>
      </c>
    </row>
    <row r="717" spans="1:28" ht="15.75" thickBot="1" x14ac:dyDescent="0.3">
      <c r="A717" s="84"/>
      <c r="B717" s="84"/>
      <c r="G717" s="798" t="s">
        <v>4160</v>
      </c>
      <c r="H717" s="799">
        <f>SUM(H701:H716)</f>
        <v>4690000</v>
      </c>
      <c r="I717" s="799">
        <f t="shared" ref="I717:S717" si="108">SUM(I701:I716)</f>
        <v>368782.57999999996</v>
      </c>
      <c r="J717" s="800">
        <f t="shared" si="108"/>
        <v>7.8631680170575688E-2</v>
      </c>
      <c r="K717" s="799">
        <f t="shared" si="108"/>
        <v>4321217.42</v>
      </c>
      <c r="L717" s="801">
        <f t="shared" si="108"/>
        <v>0</v>
      </c>
      <c r="M717" s="801">
        <f t="shared" si="108"/>
        <v>0</v>
      </c>
      <c r="N717" s="802"/>
      <c r="O717" s="801">
        <f t="shared" si="108"/>
        <v>0</v>
      </c>
      <c r="P717" s="801">
        <f t="shared" si="108"/>
        <v>4690000</v>
      </c>
      <c r="Q717" s="801">
        <f t="shared" si="108"/>
        <v>329582.57999999996</v>
      </c>
      <c r="R717" s="802">
        <f t="shared" si="108"/>
        <v>7.027347121535181E-2</v>
      </c>
      <c r="S717" s="801">
        <f t="shared" si="108"/>
        <v>4545417.6318918914</v>
      </c>
      <c r="T717" s="84"/>
      <c r="AB717" s="84">
        <f t="shared" si="107"/>
        <v>0</v>
      </c>
    </row>
    <row r="718" spans="1:28" x14ac:dyDescent="0.25">
      <c r="A718" s="84"/>
      <c r="B718" s="84"/>
      <c r="C718" s="757"/>
      <c r="D718" s="84"/>
      <c r="E718" s="994"/>
      <c r="F718" s="84"/>
      <c r="T718" s="84"/>
      <c r="AB718" s="84">
        <f t="shared" si="107"/>
        <v>0</v>
      </c>
    </row>
    <row r="719" spans="1:28" x14ac:dyDescent="0.25">
      <c r="C719" s="761" t="s">
        <v>4096</v>
      </c>
      <c r="D719" s="770"/>
      <c r="G719" s="995" t="s">
        <v>5001</v>
      </c>
      <c r="AB719" s="84">
        <f t="shared" si="107"/>
        <v>0</v>
      </c>
    </row>
    <row r="720" spans="1:28" ht="30" x14ac:dyDescent="0.25">
      <c r="C720" s="761"/>
      <c r="D720" s="778">
        <v>160</v>
      </c>
      <c r="E720" s="779"/>
      <c r="F720" s="778"/>
      <c r="G720" s="780" t="s">
        <v>106</v>
      </c>
      <c r="H720" s="794"/>
      <c r="I720" s="794"/>
      <c r="J720" s="795"/>
      <c r="K720" s="794"/>
      <c r="L720" s="796"/>
      <c r="M720" s="796"/>
      <c r="N720" s="797"/>
      <c r="O720" s="796"/>
      <c r="P720" s="796"/>
      <c r="Q720" s="796"/>
      <c r="R720" s="797"/>
      <c r="S720" s="796"/>
      <c r="AB720" s="84">
        <f t="shared" si="107"/>
        <v>0</v>
      </c>
    </row>
    <row r="721" spans="1:31" ht="15.75" thickBot="1" x14ac:dyDescent="0.3">
      <c r="E721" s="760" t="s">
        <v>5216</v>
      </c>
      <c r="F721" s="782">
        <v>499</v>
      </c>
      <c r="G721" s="876" t="s">
        <v>4098</v>
      </c>
      <c r="H721" s="934">
        <f>9665066-1328545-750000-3840000-762441-2055336-600000</f>
        <v>328744</v>
      </c>
      <c r="I721" s="763">
        <v>0</v>
      </c>
      <c r="J721" s="764">
        <f>I721/H721</f>
        <v>0</v>
      </c>
      <c r="K721" s="763">
        <f>H721-I721</f>
        <v>328744</v>
      </c>
      <c r="L721" s="765">
        <v>0</v>
      </c>
      <c r="M721" s="765">
        <v>0</v>
      </c>
      <c r="O721" s="765">
        <f>L721-M721</f>
        <v>0</v>
      </c>
      <c r="P721" s="765">
        <f>L721+H721</f>
        <v>328744</v>
      </c>
      <c r="Q721" s="765">
        <f>M721+I721</f>
        <v>0</v>
      </c>
      <c r="R721" s="766">
        <f>Q721/P721</f>
        <v>0</v>
      </c>
      <c r="S721" s="765">
        <f>P721-Q721</f>
        <v>328744</v>
      </c>
      <c r="Z721" s="830">
        <f>H721-X721+Y721</f>
        <v>328744</v>
      </c>
      <c r="AA721" s="831">
        <v>344100.60000000009</v>
      </c>
      <c r="AB721" s="84">
        <f t="shared" si="107"/>
        <v>-15356.600000000093</v>
      </c>
      <c r="AE721" s="84">
        <f>H721-AA721</f>
        <v>-15356.600000000093</v>
      </c>
    </row>
    <row r="722" spans="1:31" x14ac:dyDescent="0.25">
      <c r="E722" s="784"/>
      <c r="F722" s="785"/>
      <c r="G722" s="786" t="s">
        <v>4801</v>
      </c>
      <c r="H722" s="787"/>
      <c r="I722" s="787"/>
      <c r="J722" s="788"/>
      <c r="K722" s="787"/>
      <c r="L722" s="789"/>
      <c r="M722" s="789"/>
      <c r="N722" s="790"/>
      <c r="O722" s="789"/>
      <c r="P722" s="789"/>
      <c r="Q722" s="789"/>
      <c r="R722" s="790"/>
      <c r="S722" s="877"/>
      <c r="AB722" s="84">
        <f t="shared" si="107"/>
        <v>0</v>
      </c>
    </row>
    <row r="723" spans="1:31" ht="15.75" thickBot="1" x14ac:dyDescent="0.3">
      <c r="E723" s="791"/>
      <c r="F723" s="792" t="s">
        <v>235</v>
      </c>
      <c r="G723" s="793" t="s">
        <v>236</v>
      </c>
      <c r="H723" s="794">
        <f t="shared" ref="H723:M723" si="109">SUM(H721)</f>
        <v>328744</v>
      </c>
      <c r="I723" s="794">
        <f t="shared" si="109"/>
        <v>0</v>
      </c>
      <c r="J723" s="795">
        <f t="shared" si="109"/>
        <v>0</v>
      </c>
      <c r="K723" s="794">
        <f t="shared" si="109"/>
        <v>328744</v>
      </c>
      <c r="L723" s="796">
        <f t="shared" si="109"/>
        <v>0</v>
      </c>
      <c r="M723" s="796">
        <f t="shared" si="109"/>
        <v>0</v>
      </c>
      <c r="N723" s="797"/>
      <c r="O723" s="796">
        <f>SUM(O721)</f>
        <v>0</v>
      </c>
      <c r="P723" s="796">
        <f>SUM(P721)</f>
        <v>328744</v>
      </c>
      <c r="Q723" s="796">
        <f>SUM(Q721)</f>
        <v>0</v>
      </c>
      <c r="R723" s="797">
        <f>SUM(R721)</f>
        <v>0</v>
      </c>
      <c r="S723" s="796">
        <f>SUM(S721)</f>
        <v>328744</v>
      </c>
      <c r="AB723" s="84">
        <f t="shared" si="107"/>
        <v>0</v>
      </c>
    </row>
    <row r="724" spans="1:31" ht="15.75" thickBot="1" x14ac:dyDescent="0.3">
      <c r="G724" s="798" t="s">
        <v>4802</v>
      </c>
      <c r="H724" s="799">
        <f t="shared" ref="H724:M724" si="110">SUM(H723)</f>
        <v>328744</v>
      </c>
      <c r="I724" s="799">
        <f t="shared" si="110"/>
        <v>0</v>
      </c>
      <c r="J724" s="800">
        <f t="shared" si="110"/>
        <v>0</v>
      </c>
      <c r="K724" s="799">
        <f t="shared" si="110"/>
        <v>328744</v>
      </c>
      <c r="L724" s="801">
        <f t="shared" si="110"/>
        <v>0</v>
      </c>
      <c r="M724" s="801">
        <f t="shared" si="110"/>
        <v>0</v>
      </c>
      <c r="N724" s="802"/>
      <c r="O724" s="801">
        <f>SUM(O723)</f>
        <v>0</v>
      </c>
      <c r="P724" s="801">
        <f>SUM(P723)</f>
        <v>328744</v>
      </c>
      <c r="Q724" s="801">
        <f>SUM(Q723)</f>
        <v>0</v>
      </c>
      <c r="R724" s="802">
        <f>SUM(R723)</f>
        <v>0</v>
      </c>
      <c r="S724" s="801">
        <f>SUM(S723)</f>
        <v>328744</v>
      </c>
      <c r="AB724" s="84">
        <f t="shared" si="107"/>
        <v>0</v>
      </c>
    </row>
    <row r="725" spans="1:31" ht="28.5" x14ac:dyDescent="0.25">
      <c r="E725" s="784"/>
      <c r="F725" s="785"/>
      <c r="G725" s="803" t="s">
        <v>5004</v>
      </c>
      <c r="H725" s="804"/>
      <c r="I725" s="805"/>
      <c r="J725" s="806"/>
      <c r="K725" s="805"/>
      <c r="L725" s="807"/>
      <c r="M725" s="808"/>
      <c r="N725" s="809"/>
      <c r="O725" s="808"/>
      <c r="P725" s="808"/>
      <c r="Q725" s="808"/>
      <c r="R725" s="809"/>
      <c r="S725" s="878"/>
      <c r="AB725" s="84">
        <f t="shared" si="107"/>
        <v>0</v>
      </c>
    </row>
    <row r="726" spans="1:31" ht="15.75" thickBot="1" x14ac:dyDescent="0.3">
      <c r="E726" s="791"/>
      <c r="F726" s="792" t="s">
        <v>235</v>
      </c>
      <c r="G726" s="793" t="s">
        <v>236</v>
      </c>
      <c r="H726" s="794">
        <f t="shared" ref="H726:M726" si="111">SUM(H723)</f>
        <v>328744</v>
      </c>
      <c r="I726" s="794">
        <f t="shared" si="111"/>
        <v>0</v>
      </c>
      <c r="J726" s="795">
        <f t="shared" si="111"/>
        <v>0</v>
      </c>
      <c r="K726" s="794">
        <f t="shared" si="111"/>
        <v>328744</v>
      </c>
      <c r="L726" s="796">
        <f t="shared" si="111"/>
        <v>0</v>
      </c>
      <c r="M726" s="796">
        <f t="shared" si="111"/>
        <v>0</v>
      </c>
      <c r="N726" s="797"/>
      <c r="O726" s="796">
        <f>SUM(O723)</f>
        <v>0</v>
      </c>
      <c r="P726" s="796">
        <f>SUM(P723)</f>
        <v>328744</v>
      </c>
      <c r="Q726" s="796">
        <f>SUM(Q723)</f>
        <v>0</v>
      </c>
      <c r="R726" s="797">
        <f>SUM(R723)</f>
        <v>0</v>
      </c>
      <c r="S726" s="796">
        <f>SUM(S723)</f>
        <v>328744</v>
      </c>
      <c r="AB726" s="84">
        <f t="shared" si="107"/>
        <v>0</v>
      </c>
    </row>
    <row r="727" spans="1:31" ht="15.75" thickBot="1" x14ac:dyDescent="0.3">
      <c r="G727" s="798" t="s">
        <v>5003</v>
      </c>
      <c r="H727" s="799">
        <f t="shared" ref="H727:M727" si="112">SUM(H726)</f>
        <v>328744</v>
      </c>
      <c r="I727" s="799">
        <f t="shared" si="112"/>
        <v>0</v>
      </c>
      <c r="J727" s="800">
        <f t="shared" si="112"/>
        <v>0</v>
      </c>
      <c r="K727" s="799">
        <f t="shared" si="112"/>
        <v>328744</v>
      </c>
      <c r="L727" s="801">
        <f t="shared" si="112"/>
        <v>0</v>
      </c>
      <c r="M727" s="801">
        <f t="shared" si="112"/>
        <v>0</v>
      </c>
      <c r="N727" s="802"/>
      <c r="O727" s="801">
        <f>SUM(O726)</f>
        <v>0</v>
      </c>
      <c r="P727" s="801">
        <f>SUM(P726)</f>
        <v>328744</v>
      </c>
      <c r="Q727" s="801">
        <f>SUM(Q726)</f>
        <v>0</v>
      </c>
      <c r="R727" s="802">
        <f>SUM(R726)</f>
        <v>0</v>
      </c>
      <c r="S727" s="801">
        <f>SUM(S726)</f>
        <v>328744</v>
      </c>
      <c r="AB727" s="84">
        <f t="shared" si="107"/>
        <v>0</v>
      </c>
    </row>
    <row r="728" spans="1:31" x14ac:dyDescent="0.25">
      <c r="A728" s="84"/>
      <c r="B728" s="84"/>
      <c r="C728" s="757"/>
      <c r="D728" s="84"/>
      <c r="E728" s="994"/>
      <c r="F728" s="84"/>
      <c r="T728" s="84"/>
      <c r="AB728" s="84">
        <f t="shared" si="107"/>
        <v>0</v>
      </c>
    </row>
    <row r="729" spans="1:31" x14ac:dyDescent="0.25">
      <c r="C729" s="761" t="s">
        <v>4097</v>
      </c>
      <c r="D729" s="770"/>
      <c r="G729" s="995" t="s">
        <v>5002</v>
      </c>
      <c r="AB729" s="84">
        <f t="shared" si="107"/>
        <v>0</v>
      </c>
    </row>
    <row r="730" spans="1:31" ht="30" x14ac:dyDescent="0.25">
      <c r="C730" s="761"/>
      <c r="D730" s="778">
        <v>160</v>
      </c>
      <c r="E730" s="779"/>
      <c r="F730" s="778"/>
      <c r="G730" s="780" t="s">
        <v>106</v>
      </c>
      <c r="H730" s="794"/>
      <c r="I730" s="794"/>
      <c r="J730" s="795"/>
      <c r="K730" s="794"/>
      <c r="L730" s="796"/>
      <c r="M730" s="796"/>
      <c r="N730" s="797"/>
      <c r="O730" s="796"/>
      <c r="P730" s="796"/>
      <c r="Q730" s="796"/>
      <c r="R730" s="797"/>
      <c r="S730" s="796"/>
      <c r="AB730" s="84">
        <f t="shared" si="107"/>
        <v>0</v>
      </c>
    </row>
    <row r="731" spans="1:31" ht="15.75" thickBot="1" x14ac:dyDescent="0.3">
      <c r="E731" s="760" t="s">
        <v>5217</v>
      </c>
      <c r="F731" s="782">
        <v>499</v>
      </c>
      <c r="G731" s="876" t="s">
        <v>4098</v>
      </c>
      <c r="H731" s="763">
        <v>34355</v>
      </c>
      <c r="I731" s="763">
        <v>0</v>
      </c>
      <c r="J731" s="764">
        <f>I731/H731</f>
        <v>0</v>
      </c>
      <c r="K731" s="763">
        <f>H731-I731</f>
        <v>34355</v>
      </c>
      <c r="L731" s="765">
        <v>0</v>
      </c>
      <c r="M731" s="765">
        <v>0</v>
      </c>
      <c r="O731" s="765">
        <f>L731-M731</f>
        <v>0</v>
      </c>
      <c r="P731" s="765">
        <f>L731+H731</f>
        <v>34355</v>
      </c>
      <c r="Q731" s="765">
        <f>M731+I731</f>
        <v>0</v>
      </c>
      <c r="R731" s="766">
        <f>Q731/P731</f>
        <v>0</v>
      </c>
      <c r="S731" s="765">
        <f>P731-Q731</f>
        <v>34355</v>
      </c>
      <c r="Z731" s="830">
        <f>H731-X731+Y731</f>
        <v>34355</v>
      </c>
      <c r="AA731" s="831">
        <v>1250000</v>
      </c>
      <c r="AB731" s="84">
        <f t="shared" si="107"/>
        <v>-1215645</v>
      </c>
      <c r="AE731" s="84">
        <f>H731-AA731</f>
        <v>-1215645</v>
      </c>
    </row>
    <row r="732" spans="1:31" x14ac:dyDescent="0.25">
      <c r="E732" s="784"/>
      <c r="F732" s="785"/>
      <c r="G732" s="786" t="s">
        <v>4801</v>
      </c>
      <c r="H732" s="787"/>
      <c r="I732" s="787"/>
      <c r="J732" s="788"/>
      <c r="K732" s="787"/>
      <c r="L732" s="789"/>
      <c r="M732" s="789"/>
      <c r="N732" s="790"/>
      <c r="O732" s="789"/>
      <c r="P732" s="789"/>
      <c r="Q732" s="789"/>
      <c r="R732" s="790"/>
      <c r="S732" s="877"/>
      <c r="AB732" s="84">
        <f t="shared" si="107"/>
        <v>0</v>
      </c>
    </row>
    <row r="733" spans="1:31" ht="15.75" thickBot="1" x14ac:dyDescent="0.3">
      <c r="E733" s="791"/>
      <c r="F733" s="792" t="s">
        <v>235</v>
      </c>
      <c r="G733" s="793" t="s">
        <v>236</v>
      </c>
      <c r="H733" s="794">
        <f t="shared" ref="H733:M733" si="113">SUM(H731)</f>
        <v>34355</v>
      </c>
      <c r="I733" s="794">
        <f t="shared" si="113"/>
        <v>0</v>
      </c>
      <c r="J733" s="795">
        <f t="shared" si="113"/>
        <v>0</v>
      </c>
      <c r="K733" s="794">
        <f t="shared" si="113"/>
        <v>34355</v>
      </c>
      <c r="L733" s="796">
        <f t="shared" si="113"/>
        <v>0</v>
      </c>
      <c r="M733" s="796">
        <f t="shared" si="113"/>
        <v>0</v>
      </c>
      <c r="N733" s="797"/>
      <c r="O733" s="796">
        <f>SUM(O731)</f>
        <v>0</v>
      </c>
      <c r="P733" s="796">
        <f>SUM(P731)</f>
        <v>34355</v>
      </c>
      <c r="Q733" s="796">
        <f>SUM(Q731)</f>
        <v>0</v>
      </c>
      <c r="R733" s="797">
        <f>SUM(R731)</f>
        <v>0</v>
      </c>
      <c r="S733" s="796">
        <f>SUM(S731)</f>
        <v>34355</v>
      </c>
      <c r="AB733" s="84">
        <f t="shared" si="107"/>
        <v>0</v>
      </c>
    </row>
    <row r="734" spans="1:31" ht="15.75" thickBot="1" x14ac:dyDescent="0.3">
      <c r="G734" s="798" t="s">
        <v>4802</v>
      </c>
      <c r="H734" s="799">
        <f t="shared" ref="H734:M734" si="114">SUM(H733)</f>
        <v>34355</v>
      </c>
      <c r="I734" s="799">
        <f t="shared" si="114"/>
        <v>0</v>
      </c>
      <c r="J734" s="800">
        <f t="shared" si="114"/>
        <v>0</v>
      </c>
      <c r="K734" s="799">
        <f t="shared" si="114"/>
        <v>34355</v>
      </c>
      <c r="L734" s="801">
        <f t="shared" si="114"/>
        <v>0</v>
      </c>
      <c r="M734" s="801">
        <f t="shared" si="114"/>
        <v>0</v>
      </c>
      <c r="N734" s="802"/>
      <c r="O734" s="801">
        <f>SUM(O733)</f>
        <v>0</v>
      </c>
      <c r="P734" s="801">
        <f>SUM(P733)</f>
        <v>34355</v>
      </c>
      <c r="Q734" s="801">
        <f>SUM(Q733)</f>
        <v>0</v>
      </c>
      <c r="R734" s="802">
        <f>SUM(R733)</f>
        <v>0</v>
      </c>
      <c r="S734" s="801">
        <f>SUM(S733)</f>
        <v>34355</v>
      </c>
      <c r="AB734" s="84">
        <f t="shared" si="107"/>
        <v>0</v>
      </c>
    </row>
    <row r="735" spans="1:31" ht="28.5" x14ac:dyDescent="0.25">
      <c r="E735" s="784"/>
      <c r="F735" s="785"/>
      <c r="G735" s="803" t="s">
        <v>4767</v>
      </c>
      <c r="H735" s="804"/>
      <c r="I735" s="805"/>
      <c r="J735" s="806"/>
      <c r="K735" s="805"/>
      <c r="L735" s="807"/>
      <c r="M735" s="808"/>
      <c r="N735" s="809"/>
      <c r="O735" s="808"/>
      <c r="P735" s="808"/>
      <c r="Q735" s="808"/>
      <c r="R735" s="809"/>
      <c r="S735" s="878"/>
      <c r="AB735" s="84">
        <f t="shared" si="107"/>
        <v>0</v>
      </c>
    </row>
    <row r="736" spans="1:31" ht="15.75" thickBot="1" x14ac:dyDescent="0.3">
      <c r="E736" s="791"/>
      <c r="F736" s="792" t="s">
        <v>235</v>
      </c>
      <c r="G736" s="793" t="s">
        <v>236</v>
      </c>
      <c r="H736" s="794">
        <f t="shared" ref="H736:M736" si="115">SUM(H733)</f>
        <v>34355</v>
      </c>
      <c r="I736" s="794">
        <f t="shared" si="115"/>
        <v>0</v>
      </c>
      <c r="J736" s="795">
        <f t="shared" si="115"/>
        <v>0</v>
      </c>
      <c r="K736" s="794">
        <f t="shared" si="115"/>
        <v>34355</v>
      </c>
      <c r="L736" s="796">
        <f t="shared" si="115"/>
        <v>0</v>
      </c>
      <c r="M736" s="796">
        <f t="shared" si="115"/>
        <v>0</v>
      </c>
      <c r="N736" s="797"/>
      <c r="O736" s="796">
        <f>SUM(O733)</f>
        <v>0</v>
      </c>
      <c r="P736" s="796">
        <f>SUM(P733)</f>
        <v>34355</v>
      </c>
      <c r="Q736" s="796">
        <f>SUM(Q733)</f>
        <v>0</v>
      </c>
      <c r="R736" s="797">
        <f>SUM(R733)</f>
        <v>0</v>
      </c>
      <c r="S736" s="796">
        <f>SUM(S733)</f>
        <v>34355</v>
      </c>
      <c r="AB736" s="84">
        <f t="shared" si="107"/>
        <v>0</v>
      </c>
    </row>
    <row r="737" spans="1:31" ht="15.75" thickBot="1" x14ac:dyDescent="0.3">
      <c r="G737" s="798" t="s">
        <v>4766</v>
      </c>
      <c r="H737" s="799">
        <f t="shared" ref="H737:M737" si="116">SUM(H736)</f>
        <v>34355</v>
      </c>
      <c r="I737" s="799">
        <f t="shared" si="116"/>
        <v>0</v>
      </c>
      <c r="J737" s="800">
        <f t="shared" si="116"/>
        <v>0</v>
      </c>
      <c r="K737" s="799">
        <f t="shared" si="116"/>
        <v>34355</v>
      </c>
      <c r="L737" s="801">
        <f t="shared" si="116"/>
        <v>0</v>
      </c>
      <c r="M737" s="801">
        <f t="shared" si="116"/>
        <v>0</v>
      </c>
      <c r="N737" s="802"/>
      <c r="O737" s="801">
        <f>SUM(O736)</f>
        <v>0</v>
      </c>
      <c r="P737" s="801">
        <f>SUM(P736)</f>
        <v>34355</v>
      </c>
      <c r="Q737" s="801">
        <f>SUM(Q736)</f>
        <v>0</v>
      </c>
      <c r="R737" s="802">
        <f>SUM(R736)</f>
        <v>0</v>
      </c>
      <c r="S737" s="801">
        <f>SUM(S736)</f>
        <v>34355</v>
      </c>
      <c r="AB737" s="84">
        <f t="shared" si="107"/>
        <v>0</v>
      </c>
    </row>
    <row r="738" spans="1:31" x14ac:dyDescent="0.25">
      <c r="A738" s="84"/>
      <c r="B738" s="84"/>
      <c r="C738" s="757"/>
      <c r="D738" s="84"/>
      <c r="E738" s="994"/>
      <c r="F738" s="84"/>
      <c r="T738" s="84"/>
      <c r="AB738" s="84">
        <f t="shared" si="107"/>
        <v>0</v>
      </c>
    </row>
    <row r="739" spans="1:31" ht="22.5" hidden="1" customHeight="1" x14ac:dyDescent="0.25">
      <c r="A739" s="767"/>
      <c r="B739" s="768"/>
      <c r="C739" s="968" t="s">
        <v>5468</v>
      </c>
      <c r="D739" s="767"/>
      <c r="E739" s="768"/>
      <c r="F739" s="969"/>
      <c r="G739" s="869" t="s">
        <v>5366</v>
      </c>
      <c r="H739" s="774"/>
      <c r="I739" s="774"/>
      <c r="J739" s="775"/>
      <c r="K739" s="774"/>
      <c r="L739" s="776"/>
      <c r="M739" s="776"/>
      <c r="N739" s="777"/>
      <c r="O739" s="776"/>
      <c r="P739" s="776"/>
      <c r="Q739" s="776"/>
      <c r="R739" s="777"/>
      <c r="S739" s="970"/>
      <c r="T739" s="84"/>
      <c r="AB739" s="84">
        <f t="shared" si="107"/>
        <v>0</v>
      </c>
    </row>
    <row r="740" spans="1:31" hidden="1" x14ac:dyDescent="0.25">
      <c r="A740" s="767"/>
      <c r="B740" s="768"/>
      <c r="C740" s="974"/>
      <c r="D740" s="778">
        <v>130</v>
      </c>
      <c r="E740" s="779"/>
      <c r="F740" s="778"/>
      <c r="G740" s="975" t="s">
        <v>113</v>
      </c>
      <c r="H740" s="774"/>
      <c r="I740" s="774"/>
      <c r="J740" s="775"/>
      <c r="K740" s="774"/>
      <c r="L740" s="776"/>
      <c r="M740" s="776"/>
      <c r="N740" s="777"/>
      <c r="O740" s="776"/>
      <c r="P740" s="776"/>
      <c r="Q740" s="776"/>
      <c r="R740" s="777"/>
      <c r="S740" s="970"/>
      <c r="T740" s="84"/>
      <c r="AB740" s="84">
        <f t="shared" si="107"/>
        <v>0</v>
      </c>
    </row>
    <row r="741" spans="1:31" ht="15.75" hidden="1" thickBot="1" x14ac:dyDescent="0.3">
      <c r="A741" s="767"/>
      <c r="B741" s="768"/>
      <c r="C741" s="968"/>
      <c r="D741" s="767"/>
      <c r="E741" s="976" t="s">
        <v>5217</v>
      </c>
      <c r="F741" s="989">
        <v>511</v>
      </c>
      <c r="G741" s="783" t="s">
        <v>4141</v>
      </c>
      <c r="H741" s="774">
        <v>0</v>
      </c>
      <c r="I741" s="887">
        <v>0</v>
      </c>
      <c r="J741" s="775" t="e">
        <f>I741/H741</f>
        <v>#DIV/0!</v>
      </c>
      <c r="K741" s="774">
        <f>H741-I741</f>
        <v>0</v>
      </c>
      <c r="L741" s="776">
        <v>0</v>
      </c>
      <c r="M741" s="776">
        <v>0</v>
      </c>
      <c r="N741" s="777"/>
      <c r="O741" s="776">
        <f>L741-M741</f>
        <v>0</v>
      </c>
      <c r="P741" s="776">
        <f t="shared" ref="P741:Q743" si="117">L741+H741</f>
        <v>0</v>
      </c>
      <c r="Q741" s="776">
        <f t="shared" si="117"/>
        <v>0</v>
      </c>
      <c r="R741" s="777" t="e">
        <f>Q741/P741</f>
        <v>#DIV/0!</v>
      </c>
      <c r="S741" s="970">
        <f>P741-Q741</f>
        <v>0</v>
      </c>
      <c r="T741" s="84"/>
      <c r="Z741" s="830">
        <f>H741-X741+Y741</f>
        <v>0</v>
      </c>
      <c r="AA741" s="831">
        <v>0</v>
      </c>
      <c r="AB741" s="84">
        <f t="shared" si="107"/>
        <v>0</v>
      </c>
    </row>
    <row r="742" spans="1:31" hidden="1" x14ac:dyDescent="0.25">
      <c r="A742" s="767"/>
      <c r="B742" s="768"/>
      <c r="C742" s="968"/>
      <c r="D742" s="767"/>
      <c r="E742" s="976"/>
      <c r="F742" s="989">
        <v>423</v>
      </c>
      <c r="G742" s="783" t="s">
        <v>3783</v>
      </c>
      <c r="H742" s="774">
        <v>0</v>
      </c>
      <c r="I742" s="887">
        <v>0</v>
      </c>
      <c r="J742" s="775"/>
      <c r="K742" s="774">
        <f>H742-I742</f>
        <v>0</v>
      </c>
      <c r="L742" s="776">
        <v>0</v>
      </c>
      <c r="M742" s="776">
        <v>0</v>
      </c>
      <c r="N742" s="777"/>
      <c r="O742" s="776">
        <f>L742-M742</f>
        <v>0</v>
      </c>
      <c r="P742" s="776">
        <f t="shared" si="117"/>
        <v>0</v>
      </c>
      <c r="Q742" s="776">
        <f t="shared" si="117"/>
        <v>0</v>
      </c>
      <c r="R742" s="777"/>
      <c r="S742" s="970">
        <f>P742-Q742</f>
        <v>0</v>
      </c>
      <c r="T742" s="84"/>
      <c r="Z742" s="830">
        <f>H742-X742+Y742</f>
        <v>0</v>
      </c>
      <c r="AA742" s="831">
        <v>0</v>
      </c>
      <c r="AB742" s="84">
        <f t="shared" si="107"/>
        <v>0</v>
      </c>
      <c r="AE742" s="84">
        <f>H742-AA742</f>
        <v>0</v>
      </c>
    </row>
    <row r="743" spans="1:31" ht="15.75" hidden="1" thickBot="1" x14ac:dyDescent="0.3">
      <c r="A743" s="767"/>
      <c r="B743" s="768"/>
      <c r="C743" s="968"/>
      <c r="D743" s="767"/>
      <c r="E743" s="976"/>
      <c r="F743" s="989">
        <v>426</v>
      </c>
      <c r="G743" s="783" t="s">
        <v>3789</v>
      </c>
      <c r="H743" s="774">
        <v>0</v>
      </c>
      <c r="I743" s="887">
        <v>0</v>
      </c>
      <c r="J743" s="775" t="e">
        <f>H743/I743</f>
        <v>#DIV/0!</v>
      </c>
      <c r="K743" s="774">
        <f>H743-I743</f>
        <v>0</v>
      </c>
      <c r="L743" s="776">
        <v>0</v>
      </c>
      <c r="M743" s="776">
        <v>0</v>
      </c>
      <c r="N743" s="777"/>
      <c r="O743" s="776">
        <f>L743-M743</f>
        <v>0</v>
      </c>
      <c r="P743" s="776">
        <f t="shared" si="117"/>
        <v>0</v>
      </c>
      <c r="Q743" s="776">
        <f t="shared" si="117"/>
        <v>0</v>
      </c>
      <c r="R743" s="777" t="e">
        <f>Q743/P743</f>
        <v>#DIV/0!</v>
      </c>
      <c r="S743" s="970">
        <f>P743-Q743</f>
        <v>0</v>
      </c>
      <c r="T743" s="84"/>
      <c r="Z743" s="830">
        <f>H743-X743+Y743</f>
        <v>0</v>
      </c>
      <c r="AA743" s="831">
        <v>0</v>
      </c>
      <c r="AB743" s="84">
        <f t="shared" si="107"/>
        <v>0</v>
      </c>
    </row>
    <row r="744" spans="1:31" hidden="1" x14ac:dyDescent="0.25">
      <c r="E744" s="784"/>
      <c r="F744" s="785"/>
      <c r="G744" s="786" t="s">
        <v>4192</v>
      </c>
      <c r="H744" s="787"/>
      <c r="I744" s="911"/>
      <c r="J744" s="788"/>
      <c r="K744" s="787"/>
      <c r="L744" s="789"/>
      <c r="M744" s="789"/>
      <c r="N744" s="790"/>
      <c r="O744" s="789"/>
      <c r="P744" s="789"/>
      <c r="Q744" s="789"/>
      <c r="R744" s="790"/>
      <c r="S744" s="877"/>
      <c r="T744" s="84"/>
      <c r="AB744" s="84">
        <f t="shared" si="107"/>
        <v>0</v>
      </c>
    </row>
    <row r="745" spans="1:31" hidden="1" x14ac:dyDescent="0.25">
      <c r="E745" s="791"/>
      <c r="F745" s="792" t="s">
        <v>235</v>
      </c>
      <c r="G745" s="793" t="s">
        <v>236</v>
      </c>
      <c r="H745" s="794">
        <f>SUM(H741:H743)</f>
        <v>0</v>
      </c>
      <c r="I745" s="887">
        <f>SUM(I741:I743)</f>
        <v>0</v>
      </c>
      <c r="J745" s="795"/>
      <c r="K745" s="794">
        <f>SUM(K741:K741)</f>
        <v>0</v>
      </c>
      <c r="L745" s="796">
        <v>0</v>
      </c>
      <c r="M745" s="796">
        <f>SUM(M741:M741)</f>
        <v>0</v>
      </c>
      <c r="N745" s="797"/>
      <c r="O745" s="796">
        <v>0</v>
      </c>
      <c r="P745" s="796">
        <f>SUM(P741:P743)</f>
        <v>0</v>
      </c>
      <c r="Q745" s="796">
        <f>SUM(Q741:Q743)</f>
        <v>0</v>
      </c>
      <c r="R745" s="797"/>
      <c r="S745" s="796">
        <v>0</v>
      </c>
      <c r="T745" s="84"/>
      <c r="AB745" s="84">
        <f t="shared" si="107"/>
        <v>0</v>
      </c>
    </row>
    <row r="746" spans="1:31" hidden="1" x14ac:dyDescent="0.25">
      <c r="E746" s="791"/>
      <c r="F746" s="792">
        <v>10</v>
      </c>
      <c r="G746" s="793" t="s">
        <v>251</v>
      </c>
      <c r="H746" s="794">
        <v>0</v>
      </c>
      <c r="I746" s="887"/>
      <c r="J746" s="795"/>
      <c r="K746" s="794"/>
      <c r="L746" s="796">
        <f>L741</f>
        <v>0</v>
      </c>
      <c r="M746" s="796">
        <f t="shared" ref="M746:S746" si="118">M741</f>
        <v>0</v>
      </c>
      <c r="N746" s="797"/>
      <c r="O746" s="796">
        <f t="shared" si="118"/>
        <v>0</v>
      </c>
      <c r="P746" s="796">
        <v>0</v>
      </c>
      <c r="Q746" s="796">
        <v>0</v>
      </c>
      <c r="R746" s="797"/>
      <c r="S746" s="796">
        <f t="shared" si="118"/>
        <v>0</v>
      </c>
      <c r="T746" s="84"/>
      <c r="AB746" s="84">
        <f t="shared" si="107"/>
        <v>0</v>
      </c>
    </row>
    <row r="747" spans="1:31" ht="15.75" hidden="1" thickBot="1" x14ac:dyDescent="0.3">
      <c r="E747" s="791"/>
      <c r="F747" s="792" t="s">
        <v>256</v>
      </c>
      <c r="G747" s="793" t="s">
        <v>257</v>
      </c>
      <c r="H747" s="794">
        <f>H741</f>
        <v>0</v>
      </c>
      <c r="I747" s="887"/>
      <c r="J747" s="795"/>
      <c r="K747" s="794"/>
      <c r="L747" s="796">
        <f>L741</f>
        <v>0</v>
      </c>
      <c r="M747" s="796">
        <f>M741</f>
        <v>0</v>
      </c>
      <c r="N747" s="797">
        <f>N741</f>
        <v>0</v>
      </c>
      <c r="O747" s="796">
        <f>O741</f>
        <v>0</v>
      </c>
      <c r="P747" s="796">
        <f>P741</f>
        <v>0</v>
      </c>
      <c r="Q747" s="796"/>
      <c r="R747" s="797"/>
      <c r="S747" s="796"/>
      <c r="T747" s="84"/>
    </row>
    <row r="748" spans="1:31" ht="15.75" hidden="1" thickBot="1" x14ac:dyDescent="0.3">
      <c r="G748" s="798" t="s">
        <v>4175</v>
      </c>
      <c r="H748" s="799">
        <f>SUM(H745:H746)</f>
        <v>0</v>
      </c>
      <c r="I748" s="921">
        <f t="shared" ref="I748:S748" si="119">SUM(I745:I746)</f>
        <v>0</v>
      </c>
      <c r="J748" s="800"/>
      <c r="K748" s="799">
        <f t="shared" si="119"/>
        <v>0</v>
      </c>
      <c r="L748" s="801">
        <f t="shared" si="119"/>
        <v>0</v>
      </c>
      <c r="M748" s="801">
        <f t="shared" si="119"/>
        <v>0</v>
      </c>
      <c r="N748" s="802"/>
      <c r="O748" s="801">
        <f t="shared" si="119"/>
        <v>0</v>
      </c>
      <c r="P748" s="801">
        <f t="shared" si="119"/>
        <v>0</v>
      </c>
      <c r="Q748" s="801">
        <f t="shared" si="119"/>
        <v>0</v>
      </c>
      <c r="R748" s="802"/>
      <c r="S748" s="801">
        <f t="shared" si="119"/>
        <v>0</v>
      </c>
      <c r="T748" s="84"/>
      <c r="AB748" s="84">
        <f t="shared" si="107"/>
        <v>0</v>
      </c>
    </row>
    <row r="749" spans="1:31" hidden="1" x14ac:dyDescent="0.25">
      <c r="E749" s="784"/>
      <c r="F749" s="785"/>
      <c r="G749" s="803" t="s">
        <v>5005</v>
      </c>
      <c r="H749" s="804"/>
      <c r="I749" s="927"/>
      <c r="J749" s="806"/>
      <c r="K749" s="805"/>
      <c r="L749" s="807"/>
      <c r="M749" s="808"/>
      <c r="N749" s="809"/>
      <c r="O749" s="808"/>
      <c r="P749" s="808"/>
      <c r="Q749" s="808"/>
      <c r="R749" s="809"/>
      <c r="S749" s="878"/>
      <c r="T749" s="84"/>
      <c r="AB749" s="84">
        <f t="shared" si="107"/>
        <v>0</v>
      </c>
    </row>
    <row r="750" spans="1:31" hidden="1" x14ac:dyDescent="0.25">
      <c r="E750" s="791"/>
      <c r="F750" s="792" t="s">
        <v>235</v>
      </c>
      <c r="G750" s="793" t="s">
        <v>236</v>
      </c>
      <c r="H750" s="794">
        <f>H745</f>
        <v>0</v>
      </c>
      <c r="I750" s="887">
        <f t="shared" ref="I750:S750" si="120">I745</f>
        <v>0</v>
      </c>
      <c r="J750" s="795"/>
      <c r="K750" s="794">
        <f t="shared" si="120"/>
        <v>0</v>
      </c>
      <c r="L750" s="796">
        <f t="shared" si="120"/>
        <v>0</v>
      </c>
      <c r="M750" s="796">
        <f t="shared" si="120"/>
        <v>0</v>
      </c>
      <c r="N750" s="797"/>
      <c r="O750" s="796">
        <f t="shared" si="120"/>
        <v>0</v>
      </c>
      <c r="P750" s="796">
        <f t="shared" si="120"/>
        <v>0</v>
      </c>
      <c r="Q750" s="796">
        <f t="shared" si="120"/>
        <v>0</v>
      </c>
      <c r="R750" s="797"/>
      <c r="S750" s="796">
        <f t="shared" si="120"/>
        <v>0</v>
      </c>
      <c r="T750" s="84"/>
      <c r="AB750" s="84">
        <f t="shared" si="107"/>
        <v>0</v>
      </c>
    </row>
    <row r="751" spans="1:31" hidden="1" x14ac:dyDescent="0.25">
      <c r="E751" s="791"/>
      <c r="F751" s="792">
        <v>10</v>
      </c>
      <c r="G751" s="793" t="s">
        <v>251</v>
      </c>
      <c r="H751" s="794">
        <f>H746</f>
        <v>0</v>
      </c>
      <c r="I751" s="887">
        <f t="shared" ref="I751:S751" si="121">I746</f>
        <v>0</v>
      </c>
      <c r="J751" s="795"/>
      <c r="K751" s="794">
        <f t="shared" si="121"/>
        <v>0</v>
      </c>
      <c r="L751" s="796">
        <f t="shared" si="121"/>
        <v>0</v>
      </c>
      <c r="M751" s="796">
        <f t="shared" si="121"/>
        <v>0</v>
      </c>
      <c r="N751" s="797"/>
      <c r="O751" s="796">
        <f t="shared" si="121"/>
        <v>0</v>
      </c>
      <c r="P751" s="796">
        <f t="shared" si="121"/>
        <v>0</v>
      </c>
      <c r="Q751" s="796">
        <f t="shared" si="121"/>
        <v>0</v>
      </c>
      <c r="R751" s="797"/>
      <c r="S751" s="796">
        <f t="shared" si="121"/>
        <v>0</v>
      </c>
      <c r="T751" s="84"/>
      <c r="AB751" s="84">
        <f t="shared" si="107"/>
        <v>0</v>
      </c>
    </row>
    <row r="752" spans="1:31" ht="15.75" hidden="1" thickBot="1" x14ac:dyDescent="0.3">
      <c r="E752" s="791"/>
      <c r="F752" s="792" t="s">
        <v>256</v>
      </c>
      <c r="G752" s="793" t="s">
        <v>257</v>
      </c>
      <c r="H752" s="794">
        <f>H747</f>
        <v>0</v>
      </c>
      <c r="I752" s="887"/>
      <c r="J752" s="795"/>
      <c r="K752" s="794"/>
      <c r="L752" s="796">
        <f>L747</f>
        <v>0</v>
      </c>
      <c r="M752" s="796">
        <f>M747</f>
        <v>0</v>
      </c>
      <c r="N752" s="797">
        <f>N747</f>
        <v>0</v>
      </c>
      <c r="O752" s="796">
        <f>O747</f>
        <v>0</v>
      </c>
      <c r="P752" s="796">
        <f>P747</f>
        <v>0</v>
      </c>
      <c r="Q752" s="796"/>
      <c r="R752" s="797"/>
      <c r="S752" s="796"/>
      <c r="T752" s="84"/>
    </row>
    <row r="753" spans="1:31" ht="15.75" hidden="1" thickBot="1" x14ac:dyDescent="0.3">
      <c r="G753" s="798" t="s">
        <v>5006</v>
      </c>
      <c r="H753" s="799">
        <f>H752</f>
        <v>0</v>
      </c>
      <c r="I753" s="921">
        <f>SUM(I750:I751)</f>
        <v>0</v>
      </c>
      <c r="J753" s="800"/>
      <c r="K753" s="799">
        <f>SUM(K750:K751)</f>
        <v>0</v>
      </c>
      <c r="L753" s="801">
        <f>L752</f>
        <v>0</v>
      </c>
      <c r="M753" s="801">
        <f>M752</f>
        <v>0</v>
      </c>
      <c r="N753" s="802">
        <f>N752</f>
        <v>0</v>
      </c>
      <c r="O753" s="801">
        <f>O752</f>
        <v>0</v>
      </c>
      <c r="P753" s="801">
        <f>P752</f>
        <v>0</v>
      </c>
      <c r="Q753" s="801">
        <f>SUM(Q750:Q751)</f>
        <v>0</v>
      </c>
      <c r="R753" s="802"/>
      <c r="S753" s="801">
        <f>SUM(S750:S751)</f>
        <v>0</v>
      </c>
      <c r="T753" s="84"/>
      <c r="AB753" s="84">
        <f t="shared" si="107"/>
        <v>0</v>
      </c>
    </row>
    <row r="754" spans="1:31" x14ac:dyDescent="0.25">
      <c r="A754" s="84"/>
      <c r="B754" s="84"/>
      <c r="C754" s="757"/>
      <c r="D754" s="84"/>
      <c r="E754" s="994"/>
      <c r="F754" s="84"/>
      <c r="T754" s="84"/>
      <c r="AB754" s="84">
        <f t="shared" si="107"/>
        <v>0</v>
      </c>
    </row>
    <row r="755" spans="1:31" ht="15" customHeight="1" x14ac:dyDescent="0.25">
      <c r="A755" s="767"/>
      <c r="B755" s="768"/>
      <c r="C755" s="968" t="s">
        <v>4668</v>
      </c>
      <c r="D755" s="767"/>
      <c r="E755" s="768"/>
      <c r="F755" s="969"/>
      <c r="G755" s="869" t="s">
        <v>5438</v>
      </c>
      <c r="H755" s="774"/>
      <c r="I755" s="774"/>
      <c r="J755" s="775"/>
      <c r="K755" s="774"/>
      <c r="L755" s="776"/>
      <c r="M755" s="776"/>
      <c r="N755" s="777"/>
      <c r="O755" s="776"/>
      <c r="P755" s="776"/>
      <c r="Q755" s="776"/>
      <c r="R755" s="777"/>
      <c r="S755" s="970"/>
      <c r="T755" s="84"/>
      <c r="AB755" s="84">
        <f t="shared" ref="AB755:AB766" si="122">Z755-AA755</f>
        <v>0</v>
      </c>
    </row>
    <row r="756" spans="1:31" x14ac:dyDescent="0.25">
      <c r="A756" s="767"/>
      <c r="B756" s="768"/>
      <c r="C756" s="974"/>
      <c r="D756" s="778">
        <v>130</v>
      </c>
      <c r="E756" s="779"/>
      <c r="F756" s="778"/>
      <c r="G756" s="975" t="s">
        <v>113</v>
      </c>
      <c r="H756" s="774"/>
      <c r="I756" s="774"/>
      <c r="J756" s="775"/>
      <c r="K756" s="774"/>
      <c r="L756" s="776"/>
      <c r="M756" s="776"/>
      <c r="N756" s="777"/>
      <c r="O756" s="776"/>
      <c r="P756" s="776"/>
      <c r="Q756" s="776"/>
      <c r="R756" s="777"/>
      <c r="S756" s="970"/>
      <c r="T756" s="84"/>
      <c r="AB756" s="84">
        <f t="shared" si="122"/>
        <v>0</v>
      </c>
    </row>
    <row r="757" spans="1:31" x14ac:dyDescent="0.25">
      <c r="A757" s="767"/>
      <c r="B757" s="768"/>
      <c r="C757" s="974"/>
      <c r="D757" s="778"/>
      <c r="E757" s="760" t="s">
        <v>5481</v>
      </c>
      <c r="F757" s="759">
        <v>423</v>
      </c>
      <c r="G757" s="996" t="s">
        <v>3783</v>
      </c>
      <c r="H757" s="774">
        <v>926000</v>
      </c>
      <c r="I757" s="774">
        <v>0</v>
      </c>
      <c r="J757" s="775"/>
      <c r="K757" s="774">
        <f>H757-I757</f>
        <v>926000</v>
      </c>
      <c r="L757" s="776">
        <v>1570000</v>
      </c>
      <c r="M757" s="776">
        <v>0</v>
      </c>
      <c r="N757" s="777">
        <f>M757/L757</f>
        <v>0</v>
      </c>
      <c r="O757" s="776">
        <f>L757-M757</f>
        <v>1570000</v>
      </c>
      <c r="P757" s="776">
        <f>L757+H757</f>
        <v>2496000</v>
      </c>
      <c r="Q757" s="776"/>
      <c r="R757" s="777"/>
      <c r="S757" s="970"/>
      <c r="T757" s="84"/>
    </row>
    <row r="758" spans="1:31" ht="15.75" thickBot="1" x14ac:dyDescent="0.3">
      <c r="A758" s="767"/>
      <c r="B758" s="768"/>
      <c r="C758" s="968"/>
      <c r="D758" s="767"/>
      <c r="E758" s="976" t="s">
        <v>5218</v>
      </c>
      <c r="F758" s="989">
        <v>426</v>
      </c>
      <c r="G758" s="783" t="s">
        <v>3789</v>
      </c>
      <c r="H758" s="774">
        <v>0</v>
      </c>
      <c r="I758" s="887">
        <v>0</v>
      </c>
      <c r="J758" s="775"/>
      <c r="K758" s="774">
        <f>H758-I758</f>
        <v>0</v>
      </c>
      <c r="L758" s="776">
        <v>40000</v>
      </c>
      <c r="M758" s="776">
        <v>0</v>
      </c>
      <c r="N758" s="777">
        <f>M758/L758</f>
        <v>0</v>
      </c>
      <c r="O758" s="776">
        <f>L758-M758</f>
        <v>40000</v>
      </c>
      <c r="P758" s="776">
        <f>L758+H758</f>
        <v>40000</v>
      </c>
      <c r="Q758" s="776">
        <f>M758+I758</f>
        <v>0</v>
      </c>
      <c r="R758" s="777">
        <f>Q758/P758</f>
        <v>0</v>
      </c>
      <c r="S758" s="970">
        <f>P758-Q758</f>
        <v>40000</v>
      </c>
      <c r="T758" s="84"/>
      <c r="Z758" s="830">
        <f>H758-X758+Y758</f>
        <v>0</v>
      </c>
      <c r="AA758" s="831">
        <v>0</v>
      </c>
      <c r="AB758" s="84">
        <f t="shared" si="122"/>
        <v>0</v>
      </c>
      <c r="AE758" s="84">
        <f>H758-AA758</f>
        <v>0</v>
      </c>
    </row>
    <row r="759" spans="1:31" x14ac:dyDescent="0.25">
      <c r="E759" s="784"/>
      <c r="F759" s="785"/>
      <c r="G759" s="786" t="s">
        <v>4192</v>
      </c>
      <c r="H759" s="787"/>
      <c r="I759" s="911"/>
      <c r="J759" s="788"/>
      <c r="K759" s="787"/>
      <c r="L759" s="789"/>
      <c r="M759" s="789"/>
      <c r="N759" s="790"/>
      <c r="O759" s="789"/>
      <c r="P759" s="789"/>
      <c r="Q759" s="789"/>
      <c r="R759" s="790"/>
      <c r="S759" s="877"/>
      <c r="T759" s="84"/>
      <c r="AB759" s="84">
        <f t="shared" si="122"/>
        <v>0</v>
      </c>
    </row>
    <row r="760" spans="1:31" x14ac:dyDescent="0.25">
      <c r="E760" s="784"/>
      <c r="F760" s="784" t="s">
        <v>235</v>
      </c>
      <c r="G760" s="793" t="s">
        <v>236</v>
      </c>
      <c r="H760" s="970">
        <f>H757</f>
        <v>926000</v>
      </c>
      <c r="I760" s="978"/>
      <c r="J760" s="823"/>
      <c r="K760" s="822"/>
      <c r="L760" s="824">
        <v>0</v>
      </c>
      <c r="M760" s="824"/>
      <c r="N760" s="825"/>
      <c r="O760" s="824"/>
      <c r="P760" s="824">
        <f>SUM(H760:L760)</f>
        <v>926000</v>
      </c>
      <c r="Q760" s="824"/>
      <c r="R760" s="825"/>
      <c r="S760" s="880"/>
      <c r="T760" s="84"/>
    </row>
    <row r="761" spans="1:31" ht="15.75" thickBot="1" x14ac:dyDescent="0.3">
      <c r="E761" s="791"/>
      <c r="F761" s="817" t="s">
        <v>5218</v>
      </c>
      <c r="G761" s="793" t="s">
        <v>5482</v>
      </c>
      <c r="H761" s="794">
        <v>0</v>
      </c>
      <c r="I761" s="887">
        <f>SUM(I755:I758)</f>
        <v>0</v>
      </c>
      <c r="J761" s="795"/>
      <c r="K761" s="794">
        <f>SUM(K755:K755)</f>
        <v>0</v>
      </c>
      <c r="L761" s="796">
        <f>SUM(L757:L758)</f>
        <v>1610000</v>
      </c>
      <c r="M761" s="796">
        <f>SUM(M755:M755)</f>
        <v>0</v>
      </c>
      <c r="N761" s="797">
        <f>M761/L761</f>
        <v>0</v>
      </c>
      <c r="O761" s="796">
        <v>0</v>
      </c>
      <c r="P761" s="796">
        <f>SUM(H761:L761)</f>
        <v>1610000</v>
      </c>
      <c r="Q761" s="796">
        <f>SUM(Q755:Q758)</f>
        <v>0</v>
      </c>
      <c r="R761" s="797">
        <f>SUM(R755:R755)</f>
        <v>0</v>
      </c>
      <c r="S761" s="796">
        <v>0</v>
      </c>
      <c r="T761" s="84"/>
      <c r="AB761" s="84">
        <f t="shared" si="122"/>
        <v>0</v>
      </c>
    </row>
    <row r="762" spans="1:31" ht="15.75" thickBot="1" x14ac:dyDescent="0.3">
      <c r="G762" s="798" t="s">
        <v>4175</v>
      </c>
      <c r="H762" s="799">
        <f>SUM(H760:H761)</f>
        <v>926000</v>
      </c>
      <c r="I762" s="921">
        <f t="shared" ref="I762:S762" si="123">SUM(I759:I761)</f>
        <v>0</v>
      </c>
      <c r="J762" s="800"/>
      <c r="K762" s="799">
        <f t="shared" si="123"/>
        <v>0</v>
      </c>
      <c r="L762" s="801">
        <f>SUM(L760:L761)</f>
        <v>1610000</v>
      </c>
      <c r="M762" s="801">
        <f t="shared" si="123"/>
        <v>0</v>
      </c>
      <c r="N762" s="802">
        <f>M762/L762</f>
        <v>0</v>
      </c>
      <c r="O762" s="801">
        <f t="shared" si="123"/>
        <v>0</v>
      </c>
      <c r="P762" s="801">
        <f>SUM(P760:P761)</f>
        <v>2536000</v>
      </c>
      <c r="Q762" s="801">
        <f t="shared" si="123"/>
        <v>0</v>
      </c>
      <c r="R762" s="802">
        <f>Q762/P762</f>
        <v>0</v>
      </c>
      <c r="S762" s="801">
        <f t="shared" si="123"/>
        <v>0</v>
      </c>
      <c r="T762" s="84"/>
      <c r="AB762" s="84">
        <f t="shared" si="122"/>
        <v>0</v>
      </c>
    </row>
    <row r="763" spans="1:31" x14ac:dyDescent="0.25">
      <c r="E763" s="784"/>
      <c r="F763" s="785"/>
      <c r="G763" s="803" t="s">
        <v>5367</v>
      </c>
      <c r="H763" s="804"/>
      <c r="I763" s="927"/>
      <c r="J763" s="806"/>
      <c r="K763" s="805"/>
      <c r="L763" s="807"/>
      <c r="M763" s="808"/>
      <c r="N763" s="809"/>
      <c r="O763" s="808"/>
      <c r="P763" s="808"/>
      <c r="Q763" s="808"/>
      <c r="R763" s="809"/>
      <c r="S763" s="878"/>
      <c r="T763" s="84"/>
      <c r="AB763" s="84">
        <f t="shared" si="122"/>
        <v>0</v>
      </c>
    </row>
    <row r="764" spans="1:31" x14ac:dyDescent="0.25">
      <c r="E764" s="784"/>
      <c r="F764" s="785" t="s">
        <v>235</v>
      </c>
      <c r="G764" s="793" t="s">
        <v>236</v>
      </c>
      <c r="H764" s="970">
        <f>H760</f>
        <v>926000</v>
      </c>
      <c r="I764" s="978"/>
      <c r="J764" s="823"/>
      <c r="K764" s="822"/>
      <c r="L764" s="824">
        <f t="shared" ref="L764:P764" si="124">L760</f>
        <v>0</v>
      </c>
      <c r="M764" s="824">
        <f t="shared" si="124"/>
        <v>0</v>
      </c>
      <c r="N764" s="825">
        <f t="shared" si="124"/>
        <v>0</v>
      </c>
      <c r="O764" s="824">
        <f t="shared" si="124"/>
        <v>0</v>
      </c>
      <c r="P764" s="824">
        <f t="shared" si="124"/>
        <v>926000</v>
      </c>
      <c r="Q764" s="824"/>
      <c r="R764" s="825"/>
      <c r="S764" s="880"/>
      <c r="T764" s="84"/>
    </row>
    <row r="765" spans="1:31" ht="15.75" thickBot="1" x14ac:dyDescent="0.3">
      <c r="E765" s="791"/>
      <c r="F765" s="817" t="s">
        <v>5218</v>
      </c>
      <c r="G765" s="793" t="s">
        <v>5482</v>
      </c>
      <c r="H765" s="794">
        <f>H761</f>
        <v>0</v>
      </c>
      <c r="I765" s="887">
        <f t="shared" ref="I765:S765" si="125">I759</f>
        <v>0</v>
      </c>
      <c r="J765" s="795"/>
      <c r="K765" s="794">
        <f t="shared" si="125"/>
        <v>0</v>
      </c>
      <c r="L765" s="796">
        <f t="shared" ref="L765:P765" si="126">L761</f>
        <v>1610000</v>
      </c>
      <c r="M765" s="796">
        <f t="shared" si="126"/>
        <v>0</v>
      </c>
      <c r="N765" s="797">
        <f t="shared" si="126"/>
        <v>0</v>
      </c>
      <c r="O765" s="796">
        <f t="shared" si="126"/>
        <v>0</v>
      </c>
      <c r="P765" s="796">
        <f t="shared" si="126"/>
        <v>1610000</v>
      </c>
      <c r="Q765" s="796">
        <f t="shared" si="125"/>
        <v>0</v>
      </c>
      <c r="R765" s="797">
        <f t="shared" si="125"/>
        <v>0</v>
      </c>
      <c r="S765" s="796">
        <f t="shared" si="125"/>
        <v>0</v>
      </c>
      <c r="T765" s="84"/>
      <c r="AB765" s="84">
        <f t="shared" si="122"/>
        <v>0</v>
      </c>
    </row>
    <row r="766" spans="1:31" ht="15.75" thickBot="1" x14ac:dyDescent="0.3">
      <c r="G766" s="798" t="s">
        <v>5368</v>
      </c>
      <c r="H766" s="799">
        <f>SUM(H763:H765)</f>
        <v>926000</v>
      </c>
      <c r="I766" s="921">
        <f t="shared" ref="I766:S766" si="127">SUM(I763:I765)</f>
        <v>0</v>
      </c>
      <c r="J766" s="800"/>
      <c r="K766" s="799">
        <f t="shared" si="127"/>
        <v>0</v>
      </c>
      <c r="L766" s="801">
        <f t="shared" si="127"/>
        <v>1610000</v>
      </c>
      <c r="M766" s="801">
        <f t="shared" si="127"/>
        <v>0</v>
      </c>
      <c r="N766" s="802">
        <f>M766/L766</f>
        <v>0</v>
      </c>
      <c r="O766" s="801">
        <f t="shared" si="127"/>
        <v>0</v>
      </c>
      <c r="P766" s="801">
        <f t="shared" si="127"/>
        <v>2536000</v>
      </c>
      <c r="Q766" s="801">
        <f t="shared" si="127"/>
        <v>0</v>
      </c>
      <c r="R766" s="802">
        <f>Q766/P766</f>
        <v>0</v>
      </c>
      <c r="S766" s="801">
        <f t="shared" si="127"/>
        <v>0</v>
      </c>
      <c r="T766" s="84"/>
      <c r="AB766" s="84">
        <f t="shared" si="122"/>
        <v>0</v>
      </c>
    </row>
    <row r="767" spans="1:31" s="204" customFormat="1" x14ac:dyDescent="0.25">
      <c r="A767" s="884"/>
      <c r="B767" s="885"/>
      <c r="C767" s="907"/>
      <c r="D767" s="884"/>
      <c r="E767" s="885"/>
      <c r="F767" s="884"/>
      <c r="G767" s="997"/>
      <c r="H767" s="934"/>
      <c r="I767" s="934"/>
      <c r="J767" s="935"/>
      <c r="K767" s="934"/>
      <c r="L767" s="889"/>
      <c r="M767" s="889"/>
      <c r="N767" s="890"/>
      <c r="O767" s="889"/>
      <c r="P767" s="889"/>
      <c r="Q767" s="889"/>
      <c r="R767" s="890"/>
      <c r="S767" s="889"/>
      <c r="T767" s="873"/>
      <c r="V767" s="892"/>
      <c r="W767" s="892"/>
      <c r="X767" s="833"/>
      <c r="Y767" s="834"/>
      <c r="Z767" s="830"/>
      <c r="AA767" s="831"/>
      <c r="AB767" s="204">
        <f t="shared" si="107"/>
        <v>0</v>
      </c>
    </row>
    <row r="768" spans="1:31" s="204" customFormat="1" x14ac:dyDescent="0.25">
      <c r="A768" s="884"/>
      <c r="B768" s="883"/>
      <c r="C768" s="907"/>
      <c r="D768" s="884"/>
      <c r="E768" s="885"/>
      <c r="F768" s="909"/>
      <c r="G768" s="977" t="s">
        <v>4150</v>
      </c>
      <c r="H768" s="978"/>
      <c r="I768" s="978"/>
      <c r="J768" s="979"/>
      <c r="K768" s="978"/>
      <c r="L768" s="891"/>
      <c r="M768" s="891"/>
      <c r="N768" s="980"/>
      <c r="O768" s="891"/>
      <c r="P768" s="891"/>
      <c r="Q768" s="891"/>
      <c r="R768" s="980"/>
      <c r="S768" s="978"/>
      <c r="T768" s="873"/>
      <c r="V768" s="892"/>
      <c r="W768" s="892"/>
      <c r="X768" s="833"/>
      <c r="Y768" s="834"/>
      <c r="Z768" s="830"/>
      <c r="AA768" s="831"/>
      <c r="AB768" s="204">
        <f t="shared" si="107"/>
        <v>0</v>
      </c>
    </row>
    <row r="769" spans="1:28" s="204" customFormat="1" x14ac:dyDescent="0.25">
      <c r="A769" s="884"/>
      <c r="B769" s="915"/>
      <c r="C769" s="907"/>
      <c r="D769" s="884"/>
      <c r="E769" s="885"/>
      <c r="F769" s="933" t="s">
        <v>235</v>
      </c>
      <c r="G769" s="917" t="s">
        <v>236</v>
      </c>
      <c r="H769" s="887">
        <f>H750+H736+H726+H701+H602+H764</f>
        <v>117307621</v>
      </c>
      <c r="I769" s="887">
        <f>I750+I736+I726+I701+I602</f>
        <v>101248598.96000001</v>
      </c>
      <c r="J769" s="888">
        <f>I769/H769</f>
        <v>0.86310333546019158</v>
      </c>
      <c r="K769" s="887">
        <f>K750+K736+K726+K701+K602</f>
        <v>15133022.039999994</v>
      </c>
      <c r="L769" s="918">
        <v>0</v>
      </c>
      <c r="M769" s="918">
        <v>0</v>
      </c>
      <c r="N769" s="919"/>
      <c r="O769" s="918">
        <v>0</v>
      </c>
      <c r="P769" s="918">
        <f>L769+H769</f>
        <v>117307621</v>
      </c>
      <c r="Q769" s="918">
        <f>M769+I769</f>
        <v>101248598.96000001</v>
      </c>
      <c r="R769" s="919">
        <f>Q769/P769</f>
        <v>0.86310333546019158</v>
      </c>
      <c r="S769" s="918">
        <f>P769-Q769</f>
        <v>16059022.039999992</v>
      </c>
      <c r="T769" s="873"/>
      <c r="V769" s="892"/>
      <c r="W769" s="892"/>
      <c r="X769" s="833"/>
      <c r="Y769" s="834"/>
      <c r="Z769" s="830"/>
      <c r="AA769" s="831"/>
      <c r="AB769" s="204">
        <f t="shared" si="107"/>
        <v>0</v>
      </c>
    </row>
    <row r="770" spans="1:28" s="204" customFormat="1" hidden="1" x14ac:dyDescent="0.25">
      <c r="A770" s="884"/>
      <c r="B770" s="885"/>
      <c r="C770" s="907"/>
      <c r="D770" s="884"/>
      <c r="E770" s="885"/>
      <c r="F770" s="933" t="s">
        <v>237</v>
      </c>
      <c r="G770" s="917" t="s">
        <v>238</v>
      </c>
      <c r="H770" s="934"/>
      <c r="I770" s="934"/>
      <c r="J770" s="935"/>
      <c r="K770" s="934"/>
      <c r="L770" s="889"/>
      <c r="M770" s="889"/>
      <c r="N770" s="890"/>
      <c r="O770" s="889"/>
      <c r="P770" s="889"/>
      <c r="Q770" s="889"/>
      <c r="R770" s="890"/>
      <c r="S770" s="918">
        <f t="shared" ref="S770:S784" si="128">SUM(H770:L770)</f>
        <v>0</v>
      </c>
      <c r="T770" s="873"/>
      <c r="V770" s="892"/>
      <c r="W770" s="892"/>
      <c r="X770" s="833"/>
      <c r="Y770" s="834"/>
      <c r="Z770" s="830"/>
      <c r="AA770" s="831"/>
      <c r="AB770" s="204">
        <f t="shared" si="107"/>
        <v>0</v>
      </c>
    </row>
    <row r="771" spans="1:28" s="204" customFormat="1" hidden="1" x14ac:dyDescent="0.25">
      <c r="A771" s="884"/>
      <c r="B771" s="885"/>
      <c r="C771" s="907"/>
      <c r="D771" s="884"/>
      <c r="E771" s="885"/>
      <c r="F771" s="933" t="s">
        <v>239</v>
      </c>
      <c r="G771" s="917" t="s">
        <v>240</v>
      </c>
      <c r="H771" s="934"/>
      <c r="I771" s="934"/>
      <c r="J771" s="935"/>
      <c r="K771" s="934"/>
      <c r="L771" s="889"/>
      <c r="M771" s="889"/>
      <c r="N771" s="890"/>
      <c r="O771" s="889"/>
      <c r="P771" s="889"/>
      <c r="Q771" s="889"/>
      <c r="R771" s="890"/>
      <c r="S771" s="918">
        <f t="shared" si="128"/>
        <v>0</v>
      </c>
      <c r="T771" s="873"/>
      <c r="V771" s="892"/>
      <c r="W771" s="892"/>
      <c r="X771" s="833"/>
      <c r="Y771" s="834"/>
      <c r="Z771" s="830"/>
      <c r="AA771" s="831"/>
      <c r="AB771" s="204">
        <f t="shared" si="107"/>
        <v>0</v>
      </c>
    </row>
    <row r="772" spans="1:28" s="204" customFormat="1" hidden="1" x14ac:dyDescent="0.25">
      <c r="A772" s="884"/>
      <c r="B772" s="885"/>
      <c r="C772" s="907"/>
      <c r="D772" s="884"/>
      <c r="E772" s="885"/>
      <c r="F772" s="933" t="s">
        <v>241</v>
      </c>
      <c r="G772" s="917" t="s">
        <v>242</v>
      </c>
      <c r="H772" s="934"/>
      <c r="I772" s="934"/>
      <c r="J772" s="935"/>
      <c r="K772" s="934"/>
      <c r="L772" s="889"/>
      <c r="M772" s="889"/>
      <c r="N772" s="890"/>
      <c r="O772" s="889"/>
      <c r="P772" s="889"/>
      <c r="Q772" s="889"/>
      <c r="R772" s="890"/>
      <c r="S772" s="918">
        <f t="shared" si="128"/>
        <v>0</v>
      </c>
      <c r="T772" s="873"/>
      <c r="V772" s="892"/>
      <c r="W772" s="892"/>
      <c r="X772" s="833"/>
      <c r="Y772" s="834"/>
      <c r="Z772" s="830"/>
      <c r="AA772" s="831"/>
      <c r="AB772" s="204">
        <f t="shared" si="107"/>
        <v>0</v>
      </c>
    </row>
    <row r="773" spans="1:28" s="204" customFormat="1" hidden="1" x14ac:dyDescent="0.25">
      <c r="A773" s="884"/>
      <c r="B773" s="885"/>
      <c r="C773" s="907"/>
      <c r="D773" s="884"/>
      <c r="E773" s="885"/>
      <c r="F773" s="933" t="s">
        <v>243</v>
      </c>
      <c r="G773" s="917" t="s">
        <v>244</v>
      </c>
      <c r="H773" s="934"/>
      <c r="I773" s="934"/>
      <c r="J773" s="935"/>
      <c r="K773" s="934"/>
      <c r="L773" s="889"/>
      <c r="M773" s="889"/>
      <c r="N773" s="890"/>
      <c r="O773" s="889"/>
      <c r="P773" s="889"/>
      <c r="Q773" s="889"/>
      <c r="R773" s="890"/>
      <c r="S773" s="918">
        <f t="shared" si="128"/>
        <v>0</v>
      </c>
      <c r="T773" s="873"/>
      <c r="V773" s="892"/>
      <c r="W773" s="892"/>
      <c r="X773" s="833"/>
      <c r="Y773" s="834"/>
      <c r="Z773" s="830"/>
      <c r="AA773" s="831"/>
      <c r="AB773" s="204">
        <f t="shared" si="107"/>
        <v>0</v>
      </c>
    </row>
    <row r="774" spans="1:28" s="204" customFormat="1" x14ac:dyDescent="0.25">
      <c r="A774" s="884"/>
      <c r="B774" s="885"/>
      <c r="C774" s="907"/>
      <c r="D774" s="884"/>
      <c r="E774" s="885"/>
      <c r="F774" s="933">
        <v>56</v>
      </c>
      <c r="G774" s="917" t="s">
        <v>5482</v>
      </c>
      <c r="H774" s="934">
        <v>0</v>
      </c>
      <c r="I774" s="934">
        <f t="shared" ref="I774:O774" si="129">I766</f>
        <v>0</v>
      </c>
      <c r="J774" s="935">
        <f t="shared" si="129"/>
        <v>0</v>
      </c>
      <c r="K774" s="934">
        <f t="shared" si="129"/>
        <v>0</v>
      </c>
      <c r="L774" s="889">
        <f>L765</f>
        <v>1610000</v>
      </c>
      <c r="M774" s="889">
        <f t="shared" si="129"/>
        <v>0</v>
      </c>
      <c r="N774" s="890">
        <f t="shared" si="129"/>
        <v>0</v>
      </c>
      <c r="O774" s="889">
        <f t="shared" si="129"/>
        <v>0</v>
      </c>
      <c r="P774" s="889">
        <f t="shared" ref="P774:P777" si="130">L774+H774</f>
        <v>1610000</v>
      </c>
      <c r="Q774" s="889"/>
      <c r="R774" s="890"/>
      <c r="S774" s="918">
        <f t="shared" si="128"/>
        <v>1610000</v>
      </c>
      <c r="T774" s="873"/>
      <c r="V774" s="892"/>
      <c r="W774" s="892"/>
      <c r="X774" s="833"/>
      <c r="Y774" s="834"/>
      <c r="Z774" s="830"/>
      <c r="AA774" s="831"/>
      <c r="AB774" s="204">
        <f t="shared" si="107"/>
        <v>0</v>
      </c>
    </row>
    <row r="775" spans="1:28" s="204" customFormat="1" hidden="1" x14ac:dyDescent="0.25">
      <c r="A775" s="884"/>
      <c r="B775" s="885"/>
      <c r="C775" s="907"/>
      <c r="D775" s="884"/>
      <c r="E775" s="885"/>
      <c r="F775" s="933" t="s">
        <v>247</v>
      </c>
      <c r="G775" s="917" t="s">
        <v>4745</v>
      </c>
      <c r="H775" s="934">
        <v>0</v>
      </c>
      <c r="I775" s="934"/>
      <c r="J775" s="935"/>
      <c r="K775" s="934"/>
      <c r="L775" s="889"/>
      <c r="M775" s="889"/>
      <c r="N775" s="890"/>
      <c r="O775" s="889"/>
      <c r="P775" s="889">
        <f t="shared" si="130"/>
        <v>0</v>
      </c>
      <c r="Q775" s="889"/>
      <c r="R775" s="890"/>
      <c r="S775" s="918">
        <f t="shared" si="128"/>
        <v>0</v>
      </c>
      <c r="T775" s="873"/>
      <c r="V775" s="892"/>
      <c r="W775" s="892"/>
      <c r="X775" s="833"/>
      <c r="Y775" s="834"/>
      <c r="Z775" s="830"/>
      <c r="AA775" s="831"/>
      <c r="AB775" s="204">
        <f t="shared" si="107"/>
        <v>0</v>
      </c>
    </row>
    <row r="776" spans="1:28" s="204" customFormat="1" ht="30" hidden="1" x14ac:dyDescent="0.25">
      <c r="A776" s="884"/>
      <c r="B776" s="885"/>
      <c r="C776" s="907"/>
      <c r="D776" s="884"/>
      <c r="E776" s="885"/>
      <c r="F776" s="933" t="s">
        <v>248</v>
      </c>
      <c r="G776" s="917" t="s">
        <v>4744</v>
      </c>
      <c r="H776" s="934"/>
      <c r="I776" s="934"/>
      <c r="J776" s="935"/>
      <c r="K776" s="934"/>
      <c r="L776" s="889"/>
      <c r="M776" s="889"/>
      <c r="N776" s="890"/>
      <c r="O776" s="889"/>
      <c r="P776" s="889">
        <f t="shared" si="130"/>
        <v>0</v>
      </c>
      <c r="Q776" s="889"/>
      <c r="R776" s="890"/>
      <c r="S776" s="918">
        <f t="shared" si="128"/>
        <v>0</v>
      </c>
      <c r="T776" s="873"/>
      <c r="V776" s="892"/>
      <c r="W776" s="892"/>
      <c r="X776" s="833"/>
      <c r="Y776" s="834"/>
      <c r="Z776" s="830"/>
      <c r="AA776" s="831"/>
      <c r="AB776" s="204">
        <f t="shared" si="107"/>
        <v>0</v>
      </c>
    </row>
    <row r="777" spans="1:28" s="204" customFormat="1" ht="15.75" thickBot="1" x14ac:dyDescent="0.3">
      <c r="A777" s="884"/>
      <c r="B777" s="885"/>
      <c r="C777" s="907"/>
      <c r="D777" s="884"/>
      <c r="E777" s="885"/>
      <c r="F777" s="933" t="s">
        <v>249</v>
      </c>
      <c r="G777" s="917" t="s">
        <v>58</v>
      </c>
      <c r="H777" s="934">
        <v>0</v>
      </c>
      <c r="I777" s="934"/>
      <c r="J777" s="935"/>
      <c r="K777" s="934"/>
      <c r="L777" s="889">
        <f>L610</f>
        <v>28427</v>
      </c>
      <c r="M777" s="889"/>
      <c r="N777" s="890"/>
      <c r="O777" s="889"/>
      <c r="P777" s="889">
        <f t="shared" si="130"/>
        <v>28427</v>
      </c>
      <c r="Q777" s="889"/>
      <c r="R777" s="890"/>
      <c r="S777" s="918">
        <f t="shared" si="128"/>
        <v>28427</v>
      </c>
      <c r="T777" s="873"/>
      <c r="V777" s="892"/>
      <c r="W777" s="892"/>
      <c r="X777" s="833"/>
      <c r="Y777" s="834"/>
      <c r="Z777" s="830"/>
      <c r="AA777" s="831"/>
      <c r="AB777" s="204">
        <f t="shared" si="107"/>
        <v>0</v>
      </c>
    </row>
    <row r="778" spans="1:28" s="204" customFormat="1" hidden="1" x14ac:dyDescent="0.25">
      <c r="A778" s="884"/>
      <c r="B778" s="885"/>
      <c r="C778" s="907"/>
      <c r="D778" s="884"/>
      <c r="E778" s="885"/>
      <c r="F778" s="933" t="s">
        <v>250</v>
      </c>
      <c r="G778" s="917" t="s">
        <v>251</v>
      </c>
      <c r="H778" s="934">
        <v>0</v>
      </c>
      <c r="I778" s="934">
        <v>0</v>
      </c>
      <c r="J778" s="935"/>
      <c r="K778" s="934">
        <v>0</v>
      </c>
      <c r="L778" s="889"/>
      <c r="M778" s="889">
        <f>M751</f>
        <v>0</v>
      </c>
      <c r="N778" s="890"/>
      <c r="O778" s="889">
        <v>0</v>
      </c>
      <c r="P778" s="889">
        <f>L778+H778</f>
        <v>0</v>
      </c>
      <c r="Q778" s="889">
        <f>M778+I778</f>
        <v>0</v>
      </c>
      <c r="R778" s="890"/>
      <c r="S778" s="918">
        <f>P778-Q778</f>
        <v>0</v>
      </c>
      <c r="T778" s="873"/>
      <c r="V778" s="892"/>
      <c r="W778" s="892"/>
      <c r="X778" s="833"/>
      <c r="Y778" s="834"/>
      <c r="Z778" s="830"/>
      <c r="AA778" s="831"/>
      <c r="AB778" s="204">
        <f t="shared" si="107"/>
        <v>0</v>
      </c>
    </row>
    <row r="779" spans="1:28" s="204" customFormat="1" hidden="1" x14ac:dyDescent="0.25">
      <c r="A779" s="884"/>
      <c r="B779" s="885"/>
      <c r="C779" s="907"/>
      <c r="D779" s="884"/>
      <c r="E779" s="885"/>
      <c r="F779" s="933" t="s">
        <v>252</v>
      </c>
      <c r="G779" s="917" t="s">
        <v>253</v>
      </c>
      <c r="H779" s="934"/>
      <c r="I779" s="934"/>
      <c r="J779" s="935"/>
      <c r="K779" s="934"/>
      <c r="L779" s="889"/>
      <c r="M779" s="889"/>
      <c r="N779" s="890"/>
      <c r="O779" s="889"/>
      <c r="P779" s="889"/>
      <c r="Q779" s="889"/>
      <c r="R779" s="890"/>
      <c r="S779" s="918">
        <f t="shared" si="128"/>
        <v>0</v>
      </c>
      <c r="T779" s="873"/>
      <c r="V779" s="892"/>
      <c r="W779" s="892"/>
      <c r="X779" s="833"/>
      <c r="Y779" s="834"/>
      <c r="Z779" s="830"/>
      <c r="AA779" s="831"/>
      <c r="AB779" s="204">
        <f t="shared" si="107"/>
        <v>0</v>
      </c>
    </row>
    <row r="780" spans="1:28" s="204" customFormat="1" ht="30" hidden="1" x14ac:dyDescent="0.25">
      <c r="A780" s="884"/>
      <c r="B780" s="885"/>
      <c r="C780" s="907"/>
      <c r="D780" s="884"/>
      <c r="E780" s="885"/>
      <c r="F780" s="933" t="s">
        <v>254</v>
      </c>
      <c r="G780" s="917" t="s">
        <v>255</v>
      </c>
      <c r="H780" s="934"/>
      <c r="I780" s="934"/>
      <c r="J780" s="935"/>
      <c r="K780" s="934"/>
      <c r="L780" s="889"/>
      <c r="M780" s="889"/>
      <c r="N780" s="890"/>
      <c r="O780" s="889"/>
      <c r="P780" s="889"/>
      <c r="Q780" s="889"/>
      <c r="R780" s="890"/>
      <c r="S780" s="918">
        <f t="shared" si="128"/>
        <v>0</v>
      </c>
      <c r="T780" s="873"/>
      <c r="V780" s="892"/>
      <c r="W780" s="892"/>
      <c r="X780" s="833"/>
      <c r="Y780" s="834"/>
      <c r="Z780" s="830"/>
      <c r="AA780" s="831"/>
      <c r="AB780" s="204">
        <f t="shared" si="107"/>
        <v>0</v>
      </c>
    </row>
    <row r="781" spans="1:28" s="204" customFormat="1" hidden="1" x14ac:dyDescent="0.25">
      <c r="A781" s="884"/>
      <c r="B781" s="885"/>
      <c r="C781" s="907"/>
      <c r="D781" s="884"/>
      <c r="E781" s="885"/>
      <c r="F781" s="933" t="s">
        <v>256</v>
      </c>
      <c r="G781" s="917" t="s">
        <v>257</v>
      </c>
      <c r="H781" s="934">
        <v>0</v>
      </c>
      <c r="I781" s="934">
        <v>0</v>
      </c>
      <c r="J781" s="935"/>
      <c r="K781" s="934">
        <v>0</v>
      </c>
      <c r="L781" s="889">
        <f>L753</f>
        <v>0</v>
      </c>
      <c r="M781" s="889">
        <f>M614</f>
        <v>0</v>
      </c>
      <c r="N781" s="890" t="e">
        <f>M781/L781</f>
        <v>#DIV/0!</v>
      </c>
      <c r="O781" s="889">
        <f>L781-M781</f>
        <v>0</v>
      </c>
      <c r="P781" s="889">
        <f>L781+H781</f>
        <v>0</v>
      </c>
      <c r="Q781" s="889">
        <f>M781+I781</f>
        <v>0</v>
      </c>
      <c r="R781" s="890" t="e">
        <f>Q781/P781</f>
        <v>#DIV/0!</v>
      </c>
      <c r="S781" s="918">
        <f>P781-Q781</f>
        <v>0</v>
      </c>
      <c r="T781" s="873"/>
      <c r="V781" s="892"/>
      <c r="W781" s="892"/>
      <c r="X781" s="833"/>
      <c r="Y781" s="834"/>
      <c r="Z781" s="830"/>
      <c r="AA781" s="831"/>
      <c r="AB781" s="204">
        <f t="shared" si="107"/>
        <v>0</v>
      </c>
    </row>
    <row r="782" spans="1:28" s="204" customFormat="1" ht="30" hidden="1" x14ac:dyDescent="0.25">
      <c r="A782" s="884"/>
      <c r="B782" s="885"/>
      <c r="C782" s="907"/>
      <c r="D782" s="884"/>
      <c r="E782" s="885"/>
      <c r="F782" s="933" t="s">
        <v>258</v>
      </c>
      <c r="G782" s="917" t="s">
        <v>259</v>
      </c>
      <c r="H782" s="934"/>
      <c r="I782" s="934"/>
      <c r="J782" s="935"/>
      <c r="K782" s="934"/>
      <c r="L782" s="889"/>
      <c r="M782" s="889"/>
      <c r="N782" s="890"/>
      <c r="O782" s="889"/>
      <c r="P782" s="889"/>
      <c r="Q782" s="889"/>
      <c r="R782" s="890"/>
      <c r="S782" s="918">
        <f t="shared" si="128"/>
        <v>0</v>
      </c>
      <c r="T782" s="873"/>
      <c r="V782" s="892"/>
      <c r="W782" s="892"/>
      <c r="X782" s="833"/>
      <c r="Y782" s="834"/>
      <c r="Z782" s="830"/>
      <c r="AA782" s="831"/>
      <c r="AB782" s="204">
        <f t="shared" si="107"/>
        <v>0</v>
      </c>
    </row>
    <row r="783" spans="1:28" s="204" customFormat="1" ht="30" hidden="1" x14ac:dyDescent="0.25">
      <c r="A783" s="884"/>
      <c r="B783" s="885"/>
      <c r="C783" s="907"/>
      <c r="D783" s="884"/>
      <c r="E783" s="885"/>
      <c r="F783" s="933" t="s">
        <v>260</v>
      </c>
      <c r="G783" s="917" t="s">
        <v>261</v>
      </c>
      <c r="H783" s="934"/>
      <c r="I783" s="934"/>
      <c r="J783" s="935"/>
      <c r="K783" s="934"/>
      <c r="L783" s="889"/>
      <c r="M783" s="889"/>
      <c r="N783" s="890"/>
      <c r="O783" s="889"/>
      <c r="P783" s="889"/>
      <c r="Q783" s="889"/>
      <c r="R783" s="890"/>
      <c r="S783" s="918">
        <f t="shared" si="128"/>
        <v>0</v>
      </c>
      <c r="T783" s="873"/>
      <c r="V783" s="892"/>
      <c r="W783" s="892"/>
      <c r="X783" s="833"/>
      <c r="Y783" s="834"/>
      <c r="Z783" s="830"/>
      <c r="AA783" s="831"/>
      <c r="AB783" s="204">
        <f t="shared" si="107"/>
        <v>0</v>
      </c>
    </row>
    <row r="784" spans="1:28" s="204" customFormat="1" ht="15.75" hidden="1" thickBot="1" x14ac:dyDescent="0.3">
      <c r="A784" s="884"/>
      <c r="B784" s="885"/>
      <c r="C784" s="907"/>
      <c r="D784" s="884"/>
      <c r="E784" s="885"/>
      <c r="F784" s="933" t="s">
        <v>262</v>
      </c>
      <c r="G784" s="917" t="s">
        <v>263</v>
      </c>
      <c r="H784" s="887"/>
      <c r="I784" s="887"/>
      <c r="J784" s="888"/>
      <c r="K784" s="887"/>
      <c r="L784" s="918"/>
      <c r="M784" s="918"/>
      <c r="N784" s="919"/>
      <c r="O784" s="918"/>
      <c r="P784" s="918"/>
      <c r="Q784" s="918"/>
      <c r="R784" s="919"/>
      <c r="S784" s="918">
        <f t="shared" si="128"/>
        <v>0</v>
      </c>
      <c r="T784" s="873"/>
      <c r="V784" s="892"/>
      <c r="W784" s="892"/>
      <c r="X784" s="833"/>
      <c r="Y784" s="834"/>
      <c r="Z784" s="830"/>
      <c r="AA784" s="831"/>
      <c r="AB784" s="204">
        <f t="shared" si="107"/>
        <v>0</v>
      </c>
    </row>
    <row r="785" spans="1:31" s="204" customFormat="1" ht="15.75" thickBot="1" x14ac:dyDescent="0.3">
      <c r="A785" s="884"/>
      <c r="B785" s="885"/>
      <c r="C785" s="907"/>
      <c r="D785" s="884"/>
      <c r="E785" s="885"/>
      <c r="F785" s="884"/>
      <c r="G785" s="920" t="s">
        <v>4151</v>
      </c>
      <c r="H785" s="921">
        <f>SUM(H769:H777)</f>
        <v>117307621</v>
      </c>
      <c r="I785" s="921">
        <f>SUM(I769:I784)</f>
        <v>101248598.96000001</v>
      </c>
      <c r="J785" s="922">
        <f>SUM(J769:J784)</f>
        <v>0.86310333546019158</v>
      </c>
      <c r="K785" s="921">
        <f>SUM(K769:K784)</f>
        <v>15133022.039999994</v>
      </c>
      <c r="L785" s="923">
        <f>SUM(L769:L777)</f>
        <v>1638427</v>
      </c>
      <c r="M785" s="923">
        <f>SUM(M769:M784)</f>
        <v>0</v>
      </c>
      <c r="N785" s="924">
        <f>M785/L785</f>
        <v>0</v>
      </c>
      <c r="O785" s="923">
        <f>SUM(O769:O784)</f>
        <v>0</v>
      </c>
      <c r="P785" s="923">
        <f>SUM(P769:P777)</f>
        <v>118946048</v>
      </c>
      <c r="Q785" s="923">
        <f>SUM(Q769:Q784)</f>
        <v>101248598.96000001</v>
      </c>
      <c r="R785" s="924">
        <f>Q785/P785</f>
        <v>0.85121448473849259</v>
      </c>
      <c r="S785" s="923">
        <f>SUM(S769:S784)</f>
        <v>17697449.039999992</v>
      </c>
      <c r="T785" s="873"/>
      <c r="V785" s="892"/>
      <c r="W785" s="892"/>
      <c r="X785" s="833"/>
      <c r="Y785" s="834"/>
      <c r="Z785" s="830"/>
      <c r="AA785" s="831"/>
      <c r="AB785" s="204">
        <f t="shared" si="107"/>
        <v>0</v>
      </c>
    </row>
    <row r="786" spans="1:31" x14ac:dyDescent="0.25">
      <c r="AB786" s="84">
        <f t="shared" si="107"/>
        <v>0</v>
      </c>
    </row>
    <row r="787" spans="1:31" x14ac:dyDescent="0.25">
      <c r="AB787" s="84">
        <f t="shared" si="107"/>
        <v>0</v>
      </c>
    </row>
    <row r="788" spans="1:31" s="204" customFormat="1" ht="28.5" x14ac:dyDescent="0.25">
      <c r="A788" s="884"/>
      <c r="B788" s="885"/>
      <c r="C788" s="998" t="s">
        <v>3561</v>
      </c>
      <c r="D788" s="884"/>
      <c r="E788" s="885"/>
      <c r="F788" s="884"/>
      <c r="G788" s="995" t="s">
        <v>5183</v>
      </c>
      <c r="H788" s="934"/>
      <c r="I788" s="934"/>
      <c r="J788" s="935"/>
      <c r="K788" s="934"/>
      <c r="L788" s="889"/>
      <c r="M788" s="889"/>
      <c r="N788" s="890"/>
      <c r="O788" s="889"/>
      <c r="P788" s="889"/>
      <c r="Q788" s="889"/>
      <c r="R788" s="890"/>
      <c r="S788" s="889"/>
      <c r="T788" s="873"/>
      <c r="V788" s="892"/>
      <c r="W788" s="892"/>
      <c r="X788" s="833"/>
      <c r="Y788" s="834"/>
      <c r="Z788" s="830"/>
      <c r="AA788" s="831"/>
      <c r="AB788" s="204">
        <f t="shared" si="107"/>
        <v>0</v>
      </c>
    </row>
    <row r="789" spans="1:31" s="204" customFormat="1" x14ac:dyDescent="0.25">
      <c r="A789" s="884"/>
      <c r="B789" s="885"/>
      <c r="C789" s="961" t="s">
        <v>4220</v>
      </c>
      <c r="D789" s="884"/>
      <c r="E789" s="885"/>
      <c r="F789" s="884"/>
      <c r="G789" s="995" t="s">
        <v>5109</v>
      </c>
      <c r="H789" s="934"/>
      <c r="I789" s="934"/>
      <c r="J789" s="935"/>
      <c r="K789" s="934"/>
      <c r="L789" s="889"/>
      <c r="M789" s="889"/>
      <c r="N789" s="890"/>
      <c r="O789" s="889"/>
      <c r="P789" s="889"/>
      <c r="Q789" s="889"/>
      <c r="R789" s="890"/>
      <c r="S789" s="889"/>
      <c r="T789" s="873"/>
      <c r="V789" s="892"/>
      <c r="W789" s="892"/>
      <c r="X789" s="833"/>
      <c r="Y789" s="834"/>
      <c r="Z789" s="830"/>
      <c r="AA789" s="831"/>
      <c r="AB789" s="204">
        <f t="shared" si="107"/>
        <v>0</v>
      </c>
    </row>
    <row r="790" spans="1:31" s="204" customFormat="1" x14ac:dyDescent="0.25">
      <c r="A790" s="884"/>
      <c r="B790" s="885"/>
      <c r="C790" s="998"/>
      <c r="D790" s="898">
        <v>130</v>
      </c>
      <c r="E790" s="899"/>
      <c r="F790" s="898"/>
      <c r="G790" s="900" t="s">
        <v>113</v>
      </c>
      <c r="H790" s="934"/>
      <c r="I790" s="934"/>
      <c r="J790" s="935"/>
      <c r="K790" s="934"/>
      <c r="L790" s="889"/>
      <c r="M790" s="889"/>
      <c r="N790" s="890"/>
      <c r="O790" s="889"/>
      <c r="P790" s="889"/>
      <c r="Q790" s="889"/>
      <c r="R790" s="890"/>
      <c r="S790" s="889"/>
      <c r="T790" s="873"/>
      <c r="V790" s="892"/>
      <c r="W790" s="892"/>
      <c r="X790" s="833"/>
      <c r="Y790" s="834"/>
      <c r="Z790" s="830"/>
      <c r="AA790" s="831"/>
      <c r="AB790" s="204">
        <f t="shared" si="107"/>
        <v>0</v>
      </c>
    </row>
    <row r="791" spans="1:31" s="204" customFormat="1" ht="15.75" thickBot="1" x14ac:dyDescent="0.3">
      <c r="A791" s="884"/>
      <c r="B791" s="885"/>
      <c r="C791" s="907"/>
      <c r="D791" s="884"/>
      <c r="E791" s="885" t="s">
        <v>5219</v>
      </c>
      <c r="F791" s="903">
        <v>511</v>
      </c>
      <c r="G791" s="816" t="s">
        <v>4141</v>
      </c>
      <c r="H791" s="999">
        <v>300000</v>
      </c>
      <c r="I791" s="999">
        <v>220000</v>
      </c>
      <c r="J791" s="1000">
        <f>I791/H791</f>
        <v>0.73333333333333328</v>
      </c>
      <c r="K791" s="999">
        <f>H791-I791</f>
        <v>80000</v>
      </c>
      <c r="L791" s="1001">
        <v>0</v>
      </c>
      <c r="M791" s="1001">
        <v>0</v>
      </c>
      <c r="N791" s="1002"/>
      <c r="O791" s="1001">
        <f>L791-M791</f>
        <v>0</v>
      </c>
      <c r="P791" s="1001">
        <f>L791+H791</f>
        <v>300000</v>
      </c>
      <c r="Q791" s="1001">
        <f>M791+I791</f>
        <v>220000</v>
      </c>
      <c r="R791" s="1002">
        <f>Q791/P791</f>
        <v>0.73333333333333328</v>
      </c>
      <c r="S791" s="1001">
        <f>P791-Q791</f>
        <v>80000</v>
      </c>
      <c r="T791" s="873"/>
      <c r="V791" s="892"/>
      <c r="W791" s="892"/>
      <c r="X791" s="833">
        <v>699020.26</v>
      </c>
      <c r="Y791" s="834"/>
      <c r="Z791" s="830">
        <f>H791-X791+Y791</f>
        <v>-399020.26</v>
      </c>
      <c r="AA791" s="831">
        <v>919020.26</v>
      </c>
      <c r="AB791" s="204">
        <f t="shared" si="107"/>
        <v>-1318040.52</v>
      </c>
      <c r="AE791" s="204">
        <f>H791-AA791</f>
        <v>-619020.26</v>
      </c>
    </row>
    <row r="792" spans="1:31" s="204" customFormat="1" x14ac:dyDescent="0.25">
      <c r="A792" s="884"/>
      <c r="B792" s="885"/>
      <c r="C792" s="907"/>
      <c r="D792" s="884"/>
      <c r="E792" s="908"/>
      <c r="F792" s="909"/>
      <c r="G792" s="910" t="s">
        <v>4192</v>
      </c>
      <c r="H792" s="911"/>
      <c r="I792" s="911"/>
      <c r="J792" s="912"/>
      <c r="K792" s="911"/>
      <c r="L792" s="913"/>
      <c r="M792" s="913"/>
      <c r="N792" s="914"/>
      <c r="O792" s="913"/>
      <c r="P792" s="913"/>
      <c r="Q792" s="913"/>
      <c r="R792" s="914"/>
      <c r="S792" s="911"/>
      <c r="T792" s="873"/>
      <c r="V792" s="892"/>
      <c r="W792" s="892"/>
      <c r="X792" s="833"/>
      <c r="Y792" s="834"/>
      <c r="Z792" s="830"/>
      <c r="AA792" s="831"/>
      <c r="AB792" s="204">
        <f t="shared" si="107"/>
        <v>0</v>
      </c>
    </row>
    <row r="793" spans="1:31" s="204" customFormat="1" ht="15.75" thickBot="1" x14ac:dyDescent="0.3">
      <c r="A793" s="884"/>
      <c r="B793" s="885"/>
      <c r="C793" s="907"/>
      <c r="D793" s="884"/>
      <c r="E793" s="915"/>
      <c r="F793" s="933" t="s">
        <v>235</v>
      </c>
      <c r="G793" s="917" t="s">
        <v>236</v>
      </c>
      <c r="H793" s="887">
        <f t="shared" ref="H793:M793" si="131">SUM(H791:H791)</f>
        <v>300000</v>
      </c>
      <c r="I793" s="887">
        <f t="shared" si="131"/>
        <v>220000</v>
      </c>
      <c r="J793" s="888">
        <f t="shared" si="131"/>
        <v>0.73333333333333328</v>
      </c>
      <c r="K793" s="887">
        <f t="shared" si="131"/>
        <v>80000</v>
      </c>
      <c r="L793" s="918">
        <f t="shared" si="131"/>
        <v>0</v>
      </c>
      <c r="M793" s="918">
        <f t="shared" si="131"/>
        <v>0</v>
      </c>
      <c r="N793" s="919"/>
      <c r="O793" s="918">
        <f>SUM(O791:O791)</f>
        <v>0</v>
      </c>
      <c r="P793" s="918">
        <f>SUM(P791:P791)</f>
        <v>300000</v>
      </c>
      <c r="Q793" s="918">
        <f>SUM(Q791:Q791)</f>
        <v>220000</v>
      </c>
      <c r="R793" s="919">
        <f>SUM(R791:R791)</f>
        <v>0.73333333333333328</v>
      </c>
      <c r="S793" s="918">
        <f>SUM(S791:S791)</f>
        <v>80000</v>
      </c>
      <c r="T793" s="873"/>
      <c r="V793" s="892"/>
      <c r="W793" s="892"/>
      <c r="X793" s="833"/>
      <c r="Y793" s="834"/>
      <c r="Z793" s="830"/>
      <c r="AA793" s="831"/>
      <c r="AB793" s="204">
        <f t="shared" ref="AB793:AB862" si="132">Z793-AA793</f>
        <v>0</v>
      </c>
    </row>
    <row r="794" spans="1:31" s="204" customFormat="1" ht="15.75" thickBot="1" x14ac:dyDescent="0.3">
      <c r="A794" s="884"/>
      <c r="B794" s="885"/>
      <c r="C794" s="907"/>
      <c r="D794" s="884"/>
      <c r="E794" s="885"/>
      <c r="F794" s="884"/>
      <c r="G794" s="920" t="s">
        <v>4175</v>
      </c>
      <c r="H794" s="921">
        <f t="shared" ref="H794:M794" si="133">SUM(H793)</f>
        <v>300000</v>
      </c>
      <c r="I794" s="921">
        <f t="shared" si="133"/>
        <v>220000</v>
      </c>
      <c r="J794" s="922">
        <f t="shared" si="133"/>
        <v>0.73333333333333328</v>
      </c>
      <c r="K794" s="921">
        <f t="shared" si="133"/>
        <v>80000</v>
      </c>
      <c r="L794" s="923">
        <f t="shared" si="133"/>
        <v>0</v>
      </c>
      <c r="M794" s="923">
        <f t="shared" si="133"/>
        <v>0</v>
      </c>
      <c r="N794" s="924"/>
      <c r="O794" s="923">
        <f>SUM(O793)</f>
        <v>0</v>
      </c>
      <c r="P794" s="923">
        <f>SUM(P793)</f>
        <v>300000</v>
      </c>
      <c r="Q794" s="923">
        <f>SUM(Q793)</f>
        <v>220000</v>
      </c>
      <c r="R794" s="924">
        <f>SUM(R793)</f>
        <v>0.73333333333333328</v>
      </c>
      <c r="S794" s="923">
        <f>SUM(S793)</f>
        <v>80000</v>
      </c>
      <c r="T794" s="873"/>
      <c r="V794" s="892"/>
      <c r="W794" s="892"/>
      <c r="X794" s="833"/>
      <c r="Y794" s="834"/>
      <c r="Z794" s="830"/>
      <c r="AA794" s="831"/>
      <c r="AB794" s="204">
        <f t="shared" si="132"/>
        <v>0</v>
      </c>
    </row>
    <row r="795" spans="1:31" s="204" customFormat="1" ht="28.5" x14ac:dyDescent="0.25">
      <c r="A795" s="884"/>
      <c r="B795" s="885"/>
      <c r="C795" s="907"/>
      <c r="D795" s="884"/>
      <c r="E795" s="908"/>
      <c r="F795" s="909"/>
      <c r="G795" s="925" t="s">
        <v>4774</v>
      </c>
      <c r="H795" s="926"/>
      <c r="I795" s="927"/>
      <c r="J795" s="928"/>
      <c r="K795" s="927"/>
      <c r="L795" s="929"/>
      <c r="M795" s="930"/>
      <c r="N795" s="931"/>
      <c r="O795" s="930"/>
      <c r="P795" s="930"/>
      <c r="Q795" s="930"/>
      <c r="R795" s="931"/>
      <c r="S795" s="932"/>
      <c r="T795" s="873"/>
      <c r="V795" s="892"/>
      <c r="W795" s="892"/>
      <c r="X795" s="833"/>
      <c r="Y795" s="834"/>
      <c r="Z795" s="830"/>
      <c r="AA795" s="831"/>
      <c r="AB795" s="204">
        <f t="shared" si="132"/>
        <v>0</v>
      </c>
    </row>
    <row r="796" spans="1:31" s="204" customFormat="1" ht="15.75" thickBot="1" x14ac:dyDescent="0.3">
      <c r="A796" s="884"/>
      <c r="B796" s="885"/>
      <c r="C796" s="907"/>
      <c r="D796" s="884"/>
      <c r="E796" s="915"/>
      <c r="F796" s="933" t="s">
        <v>235</v>
      </c>
      <c r="G796" s="917" t="s">
        <v>236</v>
      </c>
      <c r="H796" s="887">
        <f>SUM(H791)</f>
        <v>300000</v>
      </c>
      <c r="I796" s="887">
        <f>SUM(I791)</f>
        <v>220000</v>
      </c>
      <c r="J796" s="888">
        <f>I796/H796</f>
        <v>0.73333333333333328</v>
      </c>
      <c r="K796" s="887">
        <f>SUM(K791)</f>
        <v>80000</v>
      </c>
      <c r="L796" s="918">
        <f>SUM(L791)</f>
        <v>0</v>
      </c>
      <c r="M796" s="918">
        <f>SUM(M791)</f>
        <v>0</v>
      </c>
      <c r="N796" s="919"/>
      <c r="O796" s="918">
        <f>SUM(O791)</f>
        <v>0</v>
      </c>
      <c r="P796" s="918">
        <f>SUM(P791)</f>
        <v>300000</v>
      </c>
      <c r="Q796" s="918">
        <f>SUM(Q791)</f>
        <v>220000</v>
      </c>
      <c r="R796" s="919">
        <f>Q796/P796</f>
        <v>0.73333333333333328</v>
      </c>
      <c r="S796" s="918">
        <f>SUM(S791)</f>
        <v>80000</v>
      </c>
      <c r="T796" s="873"/>
      <c r="V796" s="892"/>
      <c r="W796" s="892"/>
      <c r="X796" s="833"/>
      <c r="Y796" s="834"/>
      <c r="Z796" s="830"/>
      <c r="AA796" s="831"/>
      <c r="AB796" s="204">
        <f t="shared" si="132"/>
        <v>0</v>
      </c>
    </row>
    <row r="797" spans="1:31" s="204" customFormat="1" ht="15.75" thickBot="1" x14ac:dyDescent="0.3">
      <c r="A797" s="884"/>
      <c r="B797" s="885"/>
      <c r="C797" s="907"/>
      <c r="D797" s="884"/>
      <c r="E797" s="885"/>
      <c r="F797" s="884"/>
      <c r="G797" s="920" t="s">
        <v>4773</v>
      </c>
      <c r="H797" s="921">
        <f t="shared" ref="H797:M797" si="134">SUM(H796)</f>
        <v>300000</v>
      </c>
      <c r="I797" s="921">
        <f t="shared" si="134"/>
        <v>220000</v>
      </c>
      <c r="J797" s="922">
        <f t="shared" si="134"/>
        <v>0.73333333333333328</v>
      </c>
      <c r="K797" s="921">
        <f t="shared" si="134"/>
        <v>80000</v>
      </c>
      <c r="L797" s="923">
        <f t="shared" si="134"/>
        <v>0</v>
      </c>
      <c r="M797" s="923">
        <f t="shared" si="134"/>
        <v>0</v>
      </c>
      <c r="N797" s="924"/>
      <c r="O797" s="923">
        <f>SUM(O796)</f>
        <v>0</v>
      </c>
      <c r="P797" s="923">
        <f>SUM(P796)</f>
        <v>300000</v>
      </c>
      <c r="Q797" s="923">
        <f>SUM(Q796)</f>
        <v>220000</v>
      </c>
      <c r="R797" s="924">
        <f>SUM(R796)</f>
        <v>0.73333333333333328</v>
      </c>
      <c r="S797" s="923">
        <f>SUM(S796)</f>
        <v>80000</v>
      </c>
      <c r="T797" s="873"/>
      <c r="V797" s="892"/>
      <c r="W797" s="892"/>
      <c r="X797" s="833"/>
      <c r="Y797" s="834"/>
      <c r="Z797" s="830"/>
      <c r="AA797" s="831"/>
      <c r="AB797" s="204">
        <f t="shared" si="132"/>
        <v>0</v>
      </c>
    </row>
    <row r="798" spans="1:31" s="204" customFormat="1" x14ac:dyDescent="0.25">
      <c r="A798" s="884"/>
      <c r="B798" s="885"/>
      <c r="C798" s="907"/>
      <c r="D798" s="884"/>
      <c r="E798" s="885"/>
      <c r="F798" s="884"/>
      <c r="G798" s="962"/>
      <c r="H798" s="964"/>
      <c r="I798" s="964"/>
      <c r="J798" s="965"/>
      <c r="K798" s="964"/>
      <c r="L798" s="966"/>
      <c r="M798" s="966"/>
      <c r="N798" s="967"/>
      <c r="O798" s="966"/>
      <c r="P798" s="966"/>
      <c r="Q798" s="966"/>
      <c r="R798" s="967"/>
      <c r="S798" s="966"/>
      <c r="T798" s="873"/>
      <c r="V798" s="892"/>
      <c r="W798" s="892"/>
      <c r="X798" s="833"/>
      <c r="Y798" s="834"/>
      <c r="Z798" s="830"/>
      <c r="AA798" s="831"/>
      <c r="AB798" s="204">
        <f t="shared" si="132"/>
        <v>0</v>
      </c>
    </row>
    <row r="799" spans="1:31" s="204" customFormat="1" ht="28.5" x14ac:dyDescent="0.25">
      <c r="A799" s="884"/>
      <c r="B799" s="885"/>
      <c r="C799" s="961" t="s">
        <v>5184</v>
      </c>
      <c r="D799" s="884"/>
      <c r="E799" s="885"/>
      <c r="F799" s="884"/>
      <c r="G799" s="995" t="s">
        <v>5185</v>
      </c>
      <c r="H799" s="934"/>
      <c r="I799" s="934"/>
      <c r="J799" s="935"/>
      <c r="K799" s="934"/>
      <c r="L799" s="889"/>
      <c r="M799" s="889"/>
      <c r="N799" s="890"/>
      <c r="O799" s="889"/>
      <c r="P799" s="889"/>
      <c r="Q799" s="889"/>
      <c r="R799" s="890"/>
      <c r="S799" s="889"/>
      <c r="T799" s="873"/>
      <c r="V799" s="892"/>
      <c r="W799" s="892"/>
      <c r="X799" s="833"/>
      <c r="Y799" s="834"/>
      <c r="Z799" s="830"/>
      <c r="AA799" s="831"/>
      <c r="AB799" s="204">
        <f t="shared" si="132"/>
        <v>0</v>
      </c>
    </row>
    <row r="800" spans="1:31" s="204" customFormat="1" x14ac:dyDescent="0.25">
      <c r="A800" s="884"/>
      <c r="B800" s="885"/>
      <c r="C800" s="998"/>
      <c r="D800" s="898">
        <v>133</v>
      </c>
      <c r="E800" s="899"/>
      <c r="F800" s="898"/>
      <c r="G800" s="900" t="s">
        <v>116</v>
      </c>
      <c r="H800" s="934"/>
      <c r="I800" s="934"/>
      <c r="J800" s="935"/>
      <c r="K800" s="934"/>
      <c r="L800" s="889"/>
      <c r="M800" s="889"/>
      <c r="N800" s="890"/>
      <c r="O800" s="889"/>
      <c r="P800" s="889"/>
      <c r="Q800" s="889"/>
      <c r="R800" s="890"/>
      <c r="S800" s="889"/>
      <c r="T800" s="873"/>
      <c r="V800" s="892"/>
      <c r="W800" s="892"/>
      <c r="X800" s="833"/>
      <c r="Y800" s="834"/>
      <c r="Z800" s="830"/>
      <c r="AA800" s="831"/>
      <c r="AB800" s="204">
        <f t="shared" si="132"/>
        <v>0</v>
      </c>
    </row>
    <row r="801" spans="1:31" s="204" customFormat="1" ht="15.75" thickBot="1" x14ac:dyDescent="0.3">
      <c r="A801" s="884"/>
      <c r="B801" s="885"/>
      <c r="C801" s="907"/>
      <c r="D801" s="884"/>
      <c r="E801" s="885" t="s">
        <v>5220</v>
      </c>
      <c r="F801" s="903">
        <v>511</v>
      </c>
      <c r="G801" s="816" t="s">
        <v>4141</v>
      </c>
      <c r="H801" s="999">
        <f>3000000+1328545</f>
        <v>4328545</v>
      </c>
      <c r="I801" s="999">
        <v>0</v>
      </c>
      <c r="J801" s="1000">
        <f>I801/H801</f>
        <v>0</v>
      </c>
      <c r="K801" s="999">
        <f>H801-I801</f>
        <v>4328545</v>
      </c>
      <c r="L801" s="1001">
        <f>SUM(L804:L805)</f>
        <v>8291120.1600000001</v>
      </c>
      <c r="M801" s="1001">
        <v>0</v>
      </c>
      <c r="N801" s="1002"/>
      <c r="O801" s="1001">
        <f>L801-M801</f>
        <v>8291120.1600000001</v>
      </c>
      <c r="P801" s="1001">
        <f>L801+H801</f>
        <v>12619665.16</v>
      </c>
      <c r="Q801" s="1001">
        <f>M801+I801</f>
        <v>0</v>
      </c>
      <c r="R801" s="1002">
        <f>Q801/P801</f>
        <v>0</v>
      </c>
      <c r="S801" s="1001">
        <f>P801-Q801</f>
        <v>12619665.16</v>
      </c>
      <c r="T801" s="873"/>
      <c r="V801" s="892"/>
      <c r="W801" s="892"/>
      <c r="X801" s="833"/>
      <c r="Y801" s="834"/>
      <c r="Z801" s="830">
        <f>H801-X801+Y801</f>
        <v>4328545</v>
      </c>
      <c r="AA801" s="831">
        <v>8000000</v>
      </c>
      <c r="AB801" s="204">
        <f t="shared" si="132"/>
        <v>-3671455</v>
      </c>
      <c r="AE801" s="204">
        <f>H801-AA801</f>
        <v>-3671455</v>
      </c>
    </row>
    <row r="802" spans="1:31" s="204" customFormat="1" x14ac:dyDescent="0.25">
      <c r="A802" s="884"/>
      <c r="B802" s="885"/>
      <c r="C802" s="907"/>
      <c r="D802" s="884"/>
      <c r="E802" s="908"/>
      <c r="F802" s="909"/>
      <c r="G802" s="910" t="s">
        <v>5113</v>
      </c>
      <c r="H802" s="911"/>
      <c r="I802" s="911"/>
      <c r="J802" s="912"/>
      <c r="K802" s="911"/>
      <c r="L802" s="913"/>
      <c r="M802" s="913"/>
      <c r="N802" s="914"/>
      <c r="O802" s="913"/>
      <c r="P802" s="913"/>
      <c r="Q802" s="913"/>
      <c r="R802" s="914"/>
      <c r="S802" s="911"/>
      <c r="T802" s="873"/>
      <c r="V802" s="892"/>
      <c r="W802" s="892"/>
      <c r="X802" s="833"/>
      <c r="Y802" s="834"/>
      <c r="Z802" s="830"/>
      <c r="AA802" s="831"/>
      <c r="AB802" s="204">
        <f t="shared" si="132"/>
        <v>0</v>
      </c>
    </row>
    <row r="803" spans="1:31" s="204" customFormat="1" x14ac:dyDescent="0.25">
      <c r="A803" s="884"/>
      <c r="B803" s="885"/>
      <c r="C803" s="907"/>
      <c r="D803" s="884"/>
      <c r="E803" s="915"/>
      <c r="F803" s="933" t="s">
        <v>235</v>
      </c>
      <c r="G803" s="917" t="s">
        <v>236</v>
      </c>
      <c r="H803" s="887">
        <f t="shared" ref="H803:M803" si="135">SUM(H801:H801)</f>
        <v>4328545</v>
      </c>
      <c r="I803" s="887">
        <f t="shared" si="135"/>
        <v>0</v>
      </c>
      <c r="J803" s="888">
        <f t="shared" si="135"/>
        <v>0</v>
      </c>
      <c r="K803" s="887">
        <f t="shared" si="135"/>
        <v>4328545</v>
      </c>
      <c r="L803" s="918">
        <v>0</v>
      </c>
      <c r="M803" s="918">
        <f t="shared" si="135"/>
        <v>0</v>
      </c>
      <c r="N803" s="919"/>
      <c r="O803" s="918">
        <f>SUM(O801:O801)</f>
        <v>8291120.1600000001</v>
      </c>
      <c r="P803" s="918">
        <f>H803+L803</f>
        <v>4328545</v>
      </c>
      <c r="Q803" s="918">
        <f>SUM(Q801:Q801)</f>
        <v>0</v>
      </c>
      <c r="R803" s="919">
        <f>SUM(R801:R801)</f>
        <v>0</v>
      </c>
      <c r="S803" s="918">
        <f>P803-Q803</f>
        <v>4328545</v>
      </c>
      <c r="T803" s="873"/>
      <c r="V803" s="892"/>
      <c r="W803" s="892"/>
      <c r="X803" s="833"/>
      <c r="Y803" s="834"/>
      <c r="Z803" s="830"/>
      <c r="AA803" s="831"/>
      <c r="AB803" s="204">
        <f t="shared" si="132"/>
        <v>0</v>
      </c>
    </row>
    <row r="804" spans="1:31" s="204" customFormat="1" x14ac:dyDescent="0.25">
      <c r="A804" s="884"/>
      <c r="B804" s="885"/>
      <c r="C804" s="907"/>
      <c r="D804" s="884"/>
      <c r="E804" s="915"/>
      <c r="F804" s="916">
        <v>10</v>
      </c>
      <c r="G804" s="917" t="s">
        <v>13</v>
      </c>
      <c r="H804" s="887">
        <v>0</v>
      </c>
      <c r="I804" s="887"/>
      <c r="J804" s="888"/>
      <c r="K804" s="887"/>
      <c r="L804" s="918">
        <v>8000000</v>
      </c>
      <c r="M804" s="918"/>
      <c r="N804" s="919"/>
      <c r="O804" s="918"/>
      <c r="P804" s="918">
        <f>H804+L804</f>
        <v>8000000</v>
      </c>
      <c r="Q804" s="918"/>
      <c r="R804" s="919"/>
      <c r="S804" s="918">
        <f>P804-Q804</f>
        <v>8000000</v>
      </c>
      <c r="T804" s="873"/>
      <c r="V804" s="892"/>
      <c r="W804" s="892"/>
      <c r="X804" s="833"/>
      <c r="Y804" s="834"/>
      <c r="Z804" s="830"/>
      <c r="AA804" s="831"/>
    </row>
    <row r="805" spans="1:31" s="204" customFormat="1" ht="15.75" thickBot="1" x14ac:dyDescent="0.3">
      <c r="A805" s="884"/>
      <c r="B805" s="885"/>
      <c r="C805" s="907"/>
      <c r="D805" s="884"/>
      <c r="E805" s="915"/>
      <c r="F805" s="916" t="s">
        <v>256</v>
      </c>
      <c r="G805" s="917" t="s">
        <v>257</v>
      </c>
      <c r="H805" s="887">
        <v>0</v>
      </c>
      <c r="I805" s="887"/>
      <c r="J805" s="888"/>
      <c r="K805" s="887"/>
      <c r="L805" s="918">
        <v>291120.15999999997</v>
      </c>
      <c r="M805" s="918"/>
      <c r="N805" s="919"/>
      <c r="O805" s="918"/>
      <c r="P805" s="918">
        <f>H805+L805</f>
        <v>291120.15999999997</v>
      </c>
      <c r="Q805" s="918"/>
      <c r="R805" s="919"/>
      <c r="S805" s="918"/>
      <c r="T805" s="873"/>
      <c r="V805" s="892"/>
      <c r="W805" s="892"/>
      <c r="X805" s="833"/>
      <c r="Y805" s="834"/>
      <c r="Z805" s="830"/>
      <c r="AA805" s="831"/>
    </row>
    <row r="806" spans="1:31" s="204" customFormat="1" ht="15.75" thickBot="1" x14ac:dyDescent="0.3">
      <c r="A806" s="884"/>
      <c r="B806" s="885"/>
      <c r="C806" s="907"/>
      <c r="D806" s="884"/>
      <c r="E806" s="885"/>
      <c r="F806" s="884"/>
      <c r="G806" s="920" t="s">
        <v>5114</v>
      </c>
      <c r="H806" s="921">
        <f>SUM(H803:H804)</f>
        <v>4328545</v>
      </c>
      <c r="I806" s="921">
        <f>SUM(I803)</f>
        <v>0</v>
      </c>
      <c r="J806" s="922">
        <f>SUM(J803)</f>
        <v>0</v>
      </c>
      <c r="K806" s="921">
        <f>SUM(K803)</f>
        <v>4328545</v>
      </c>
      <c r="L806" s="923">
        <f>SUM(L803:L805)</f>
        <v>8291120.1600000001</v>
      </c>
      <c r="M806" s="923">
        <f>SUM(M803)</f>
        <v>0</v>
      </c>
      <c r="N806" s="924"/>
      <c r="O806" s="923">
        <f>SUM(O803)</f>
        <v>8291120.1600000001</v>
      </c>
      <c r="P806" s="923">
        <f>SUM(P803:P805)</f>
        <v>12619665.16</v>
      </c>
      <c r="Q806" s="923">
        <f>SUM(Q803)</f>
        <v>0</v>
      </c>
      <c r="R806" s="924">
        <f>SUM(R803)</f>
        <v>0</v>
      </c>
      <c r="S806" s="923">
        <f>SUM(S803:S804)</f>
        <v>12328545</v>
      </c>
      <c r="T806" s="873"/>
      <c r="V806" s="892"/>
      <c r="W806" s="892"/>
      <c r="X806" s="833"/>
      <c r="Y806" s="834"/>
      <c r="Z806" s="830"/>
      <c r="AA806" s="831"/>
      <c r="AB806" s="204">
        <f t="shared" si="132"/>
        <v>0</v>
      </c>
    </row>
    <row r="807" spans="1:31" s="204" customFormat="1" ht="28.5" x14ac:dyDescent="0.25">
      <c r="A807" s="884"/>
      <c r="B807" s="885"/>
      <c r="C807" s="907"/>
      <c r="D807" s="884"/>
      <c r="E807" s="908"/>
      <c r="F807" s="909"/>
      <c r="G807" s="925" t="s">
        <v>5186</v>
      </c>
      <c r="H807" s="926"/>
      <c r="I807" s="927"/>
      <c r="J807" s="928"/>
      <c r="K807" s="927"/>
      <c r="L807" s="929"/>
      <c r="M807" s="930"/>
      <c r="N807" s="931"/>
      <c r="O807" s="930"/>
      <c r="P807" s="930"/>
      <c r="Q807" s="930"/>
      <c r="R807" s="931"/>
      <c r="S807" s="932"/>
      <c r="T807" s="873"/>
      <c r="V807" s="892"/>
      <c r="W807" s="892"/>
      <c r="X807" s="833"/>
      <c r="Y807" s="834"/>
      <c r="Z807" s="830"/>
      <c r="AA807" s="831"/>
      <c r="AB807" s="204">
        <f t="shared" si="132"/>
        <v>0</v>
      </c>
    </row>
    <row r="808" spans="1:31" s="204" customFormat="1" x14ac:dyDescent="0.25">
      <c r="A808" s="884"/>
      <c r="B808" s="885"/>
      <c r="C808" s="907"/>
      <c r="D808" s="884"/>
      <c r="E808" s="915"/>
      <c r="F808" s="933" t="s">
        <v>235</v>
      </c>
      <c r="G808" s="917" t="s">
        <v>236</v>
      </c>
      <c r="H808" s="887">
        <f>H803</f>
        <v>4328545</v>
      </c>
      <c r="I808" s="887">
        <f>SUM(I801)</f>
        <v>0</v>
      </c>
      <c r="J808" s="888">
        <f>I808/H808</f>
        <v>0</v>
      </c>
      <c r="K808" s="887">
        <f>SUM(K801)</f>
        <v>4328545</v>
      </c>
      <c r="L808" s="918">
        <f t="shared" ref="L808:M810" si="136">L803</f>
        <v>0</v>
      </c>
      <c r="M808" s="918">
        <f t="shared" si="136"/>
        <v>0</v>
      </c>
      <c r="N808" s="919"/>
      <c r="O808" s="918">
        <f t="shared" ref="O808:P810" si="137">O803</f>
        <v>8291120.1600000001</v>
      </c>
      <c r="P808" s="918">
        <f t="shared" si="137"/>
        <v>4328545</v>
      </c>
      <c r="Q808" s="918">
        <f>SUM(Q801)</f>
        <v>0</v>
      </c>
      <c r="R808" s="919">
        <f>Q808/P808</f>
        <v>0</v>
      </c>
      <c r="S808" s="918">
        <f>S803</f>
        <v>4328545</v>
      </c>
      <c r="T808" s="873"/>
      <c r="V808" s="892"/>
      <c r="W808" s="892"/>
      <c r="X808" s="833"/>
      <c r="Y808" s="834"/>
      <c r="Z808" s="830"/>
      <c r="AA808" s="831"/>
      <c r="AB808" s="204">
        <f t="shared" si="132"/>
        <v>0</v>
      </c>
    </row>
    <row r="809" spans="1:31" s="204" customFormat="1" x14ac:dyDescent="0.25">
      <c r="A809" s="884"/>
      <c r="B809" s="885"/>
      <c r="C809" s="907"/>
      <c r="D809" s="884"/>
      <c r="E809" s="915"/>
      <c r="F809" s="916">
        <v>10</v>
      </c>
      <c r="G809" s="917" t="s">
        <v>13</v>
      </c>
      <c r="H809" s="887">
        <f>H804</f>
        <v>0</v>
      </c>
      <c r="I809" s="887"/>
      <c r="J809" s="888"/>
      <c r="K809" s="887"/>
      <c r="L809" s="918">
        <f t="shared" si="136"/>
        <v>8000000</v>
      </c>
      <c r="M809" s="918">
        <f t="shared" si="136"/>
        <v>0</v>
      </c>
      <c r="N809" s="919">
        <f>N804</f>
        <v>0</v>
      </c>
      <c r="O809" s="918">
        <f t="shared" si="137"/>
        <v>0</v>
      </c>
      <c r="P809" s="918">
        <f t="shared" si="137"/>
        <v>8000000</v>
      </c>
      <c r="Q809" s="918">
        <v>0</v>
      </c>
      <c r="R809" s="919">
        <v>0</v>
      </c>
      <c r="S809" s="918">
        <f>S804</f>
        <v>8000000</v>
      </c>
      <c r="T809" s="873"/>
      <c r="V809" s="892"/>
      <c r="W809" s="892"/>
      <c r="X809" s="833"/>
      <c r="Y809" s="834"/>
      <c r="Z809" s="830"/>
      <c r="AA809" s="831"/>
    </row>
    <row r="810" spans="1:31" s="204" customFormat="1" ht="15.75" thickBot="1" x14ac:dyDescent="0.3">
      <c r="A810" s="884"/>
      <c r="B810" s="885"/>
      <c r="C810" s="907"/>
      <c r="D810" s="884"/>
      <c r="E810" s="915"/>
      <c r="F810" s="916" t="s">
        <v>256</v>
      </c>
      <c r="G810" s="917" t="s">
        <v>257</v>
      </c>
      <c r="H810" s="887">
        <f>H805</f>
        <v>0</v>
      </c>
      <c r="I810" s="887"/>
      <c r="J810" s="888"/>
      <c r="K810" s="887"/>
      <c r="L810" s="918">
        <f t="shared" si="136"/>
        <v>291120.15999999997</v>
      </c>
      <c r="M810" s="918">
        <f t="shared" si="136"/>
        <v>0</v>
      </c>
      <c r="N810" s="919">
        <f>N805</f>
        <v>0</v>
      </c>
      <c r="O810" s="918">
        <f t="shared" si="137"/>
        <v>0</v>
      </c>
      <c r="P810" s="918">
        <f t="shared" si="137"/>
        <v>291120.15999999997</v>
      </c>
      <c r="Q810" s="918"/>
      <c r="R810" s="919"/>
      <c r="S810" s="918"/>
      <c r="T810" s="873"/>
      <c r="V810" s="892"/>
      <c r="W810" s="892"/>
      <c r="X810" s="833"/>
      <c r="Y810" s="834"/>
      <c r="Z810" s="830"/>
      <c r="AA810" s="831"/>
    </row>
    <row r="811" spans="1:31" s="204" customFormat="1" ht="15.75" thickBot="1" x14ac:dyDescent="0.3">
      <c r="A811" s="884"/>
      <c r="B811" s="885"/>
      <c r="C811" s="907"/>
      <c r="D811" s="884"/>
      <c r="E811" s="885"/>
      <c r="F811" s="884"/>
      <c r="G811" s="920" t="s">
        <v>5187</v>
      </c>
      <c r="H811" s="921">
        <f>SUM(H808:H809)</f>
        <v>4328545</v>
      </c>
      <c r="I811" s="921">
        <f>SUM(I808)</f>
        <v>0</v>
      </c>
      <c r="J811" s="922">
        <f>SUM(J808)</f>
        <v>0</v>
      </c>
      <c r="K811" s="921">
        <f>SUM(K808)</f>
        <v>4328545</v>
      </c>
      <c r="L811" s="923">
        <f>SUM(L808:L810)</f>
        <v>8291120.1600000001</v>
      </c>
      <c r="M811" s="923">
        <f>SUM(M808)</f>
        <v>0</v>
      </c>
      <c r="N811" s="924">
        <f>N806</f>
        <v>0</v>
      </c>
      <c r="O811" s="923">
        <f>SUM(O808)</f>
        <v>8291120.1600000001</v>
      </c>
      <c r="P811" s="923">
        <f>SUM(P808:P810)</f>
        <v>12619665.16</v>
      </c>
      <c r="Q811" s="923">
        <f>SUM(Q808)</f>
        <v>0</v>
      </c>
      <c r="R811" s="924">
        <f>SUM(R808)</f>
        <v>0</v>
      </c>
      <c r="S811" s="923">
        <f>SUM(S808:S809)</f>
        <v>12328545</v>
      </c>
      <c r="T811" s="873"/>
      <c r="V811" s="892"/>
      <c r="W811" s="892"/>
      <c r="X811" s="833"/>
      <c r="Y811" s="834"/>
      <c r="Z811" s="830"/>
      <c r="AA811" s="831"/>
      <c r="AB811" s="204">
        <f t="shared" si="132"/>
        <v>0</v>
      </c>
    </row>
    <row r="812" spans="1:31" s="204" customFormat="1" x14ac:dyDescent="0.25">
      <c r="A812" s="884"/>
      <c r="B812" s="885"/>
      <c r="C812" s="907"/>
      <c r="D812" s="884"/>
      <c r="E812" s="885"/>
      <c r="F812" s="884"/>
      <c r="G812" s="962"/>
      <c r="H812" s="964"/>
      <c r="I812" s="964"/>
      <c r="J812" s="965"/>
      <c r="K812" s="964"/>
      <c r="L812" s="966"/>
      <c r="M812" s="966"/>
      <c r="N812" s="967"/>
      <c r="O812" s="966"/>
      <c r="P812" s="966"/>
      <c r="Q812" s="966"/>
      <c r="R812" s="967"/>
      <c r="S812" s="966"/>
      <c r="T812" s="873"/>
      <c r="V812" s="892"/>
      <c r="W812" s="892"/>
      <c r="X812" s="833"/>
      <c r="Y812" s="834"/>
      <c r="Z812" s="830"/>
      <c r="AA812" s="831"/>
      <c r="AB812" s="204">
        <f t="shared" si="132"/>
        <v>0</v>
      </c>
    </row>
    <row r="813" spans="1:31" s="204" customFormat="1" hidden="1" x14ac:dyDescent="0.25">
      <c r="A813" s="884"/>
      <c r="B813" s="885"/>
      <c r="C813" s="961" t="s">
        <v>4222</v>
      </c>
      <c r="D813" s="884"/>
      <c r="E813" s="885"/>
      <c r="F813" s="884"/>
      <c r="G813" s="995" t="s">
        <v>5110</v>
      </c>
      <c r="H813" s="934"/>
      <c r="I813" s="934"/>
      <c r="J813" s="935"/>
      <c r="K813" s="934"/>
      <c r="L813" s="889"/>
      <c r="M813" s="889"/>
      <c r="N813" s="890"/>
      <c r="O813" s="889"/>
      <c r="P813" s="889"/>
      <c r="Q813" s="889"/>
      <c r="R813" s="890"/>
      <c r="S813" s="889"/>
      <c r="T813" s="873"/>
      <c r="V813" s="892"/>
      <c r="W813" s="892"/>
      <c r="X813" s="833"/>
      <c r="Y813" s="834"/>
      <c r="Z813" s="830"/>
      <c r="AA813" s="831"/>
      <c r="AB813" s="204">
        <f t="shared" si="132"/>
        <v>0</v>
      </c>
    </row>
    <row r="814" spans="1:31" s="204" customFormat="1" hidden="1" x14ac:dyDescent="0.25">
      <c r="A814" s="884"/>
      <c r="B814" s="885"/>
      <c r="C814" s="998"/>
      <c r="D814" s="898">
        <v>133</v>
      </c>
      <c r="E814" s="899"/>
      <c r="F814" s="898"/>
      <c r="G814" s="900" t="s">
        <v>116</v>
      </c>
      <c r="H814" s="934"/>
      <c r="I814" s="934"/>
      <c r="J814" s="935"/>
      <c r="K814" s="934"/>
      <c r="L814" s="889"/>
      <c r="M814" s="889"/>
      <c r="N814" s="890"/>
      <c r="O814" s="889"/>
      <c r="P814" s="889"/>
      <c r="Q814" s="889"/>
      <c r="R814" s="890"/>
      <c r="S814" s="889"/>
      <c r="T814" s="873"/>
      <c r="V814" s="892"/>
      <c r="W814" s="892"/>
      <c r="X814" s="833"/>
      <c r="Y814" s="834"/>
      <c r="Z814" s="830"/>
      <c r="AA814" s="831"/>
      <c r="AB814" s="204">
        <f t="shared" si="132"/>
        <v>0</v>
      </c>
    </row>
    <row r="815" spans="1:31" s="204" customFormat="1" hidden="1" x14ac:dyDescent="0.25">
      <c r="A815" s="884"/>
      <c r="B815" s="885"/>
      <c r="C815" s="907"/>
      <c r="D815" s="884"/>
      <c r="E815" s="885" t="s">
        <v>5228</v>
      </c>
      <c r="F815" s="903">
        <v>511</v>
      </c>
      <c r="G815" s="906" t="s">
        <v>4141</v>
      </c>
      <c r="H815" s="887">
        <v>0</v>
      </c>
      <c r="I815" s="887">
        <v>0</v>
      </c>
      <c r="J815" s="888" t="e">
        <f>I815/H815</f>
        <v>#DIV/0!</v>
      </c>
      <c r="K815" s="887">
        <f>H815-I815</f>
        <v>0</v>
      </c>
      <c r="L815" s="918">
        <v>0</v>
      </c>
      <c r="M815" s="918">
        <v>0</v>
      </c>
      <c r="N815" s="919"/>
      <c r="O815" s="918">
        <f>L815-M815</f>
        <v>0</v>
      </c>
      <c r="P815" s="918">
        <f>L815+H815</f>
        <v>0</v>
      </c>
      <c r="Q815" s="918">
        <f>M815+I815</f>
        <v>0</v>
      </c>
      <c r="R815" s="919" t="e">
        <f>Q815/P815</f>
        <v>#DIV/0!</v>
      </c>
      <c r="S815" s="918">
        <f>P815-Q815</f>
        <v>0</v>
      </c>
      <c r="T815" s="873"/>
      <c r="V815" s="892"/>
      <c r="W815" s="892"/>
      <c r="X815" s="833"/>
      <c r="Y815" s="834"/>
      <c r="Z815" s="830">
        <f>H815-X815+Y815</f>
        <v>0</v>
      </c>
      <c r="AA815" s="831">
        <v>3000000</v>
      </c>
      <c r="AB815" s="204">
        <f t="shared" si="132"/>
        <v>-3000000</v>
      </c>
      <c r="AE815" s="204">
        <f>H815-AA815</f>
        <v>-3000000</v>
      </c>
    </row>
    <row r="816" spans="1:31" s="204" customFormat="1" ht="15.75" hidden="1" thickBot="1" x14ac:dyDescent="0.3">
      <c r="A816" s="884"/>
      <c r="B816" s="885"/>
      <c r="C816" s="907"/>
      <c r="D816" s="884"/>
      <c r="E816" s="885" t="s">
        <v>5369</v>
      </c>
      <c r="F816" s="903">
        <v>515</v>
      </c>
      <c r="G816" s="906" t="s">
        <v>3836</v>
      </c>
      <c r="H816" s="887">
        <v>0</v>
      </c>
      <c r="I816" s="887">
        <v>0</v>
      </c>
      <c r="J816" s="888"/>
      <c r="K816" s="999">
        <f>H816-I816</f>
        <v>0</v>
      </c>
      <c r="L816" s="1001">
        <v>0</v>
      </c>
      <c r="M816" s="1001">
        <v>0</v>
      </c>
      <c r="N816" s="1002"/>
      <c r="O816" s="1001">
        <f>L816-M816</f>
        <v>0</v>
      </c>
      <c r="P816" s="1001">
        <f>L816+H816</f>
        <v>0</v>
      </c>
      <c r="Q816" s="1001">
        <f>M816+I816</f>
        <v>0</v>
      </c>
      <c r="R816" s="1002"/>
      <c r="S816" s="1001">
        <f>P816-Q816</f>
        <v>0</v>
      </c>
      <c r="T816" s="873"/>
      <c r="V816" s="892"/>
      <c r="W816" s="892"/>
      <c r="X816" s="833"/>
      <c r="Y816" s="834"/>
      <c r="Z816" s="830">
        <f>H816-X816+Y816</f>
        <v>0</v>
      </c>
      <c r="AA816" s="831">
        <v>0</v>
      </c>
      <c r="AB816" s="204">
        <f t="shared" si="132"/>
        <v>0</v>
      </c>
      <c r="AE816" s="204">
        <f>H816-AA816</f>
        <v>0</v>
      </c>
    </row>
    <row r="817" spans="1:28" s="204" customFormat="1" hidden="1" x14ac:dyDescent="0.25">
      <c r="A817" s="884"/>
      <c r="B817" s="885"/>
      <c r="C817" s="907"/>
      <c r="D817" s="884"/>
      <c r="E817" s="908"/>
      <c r="F817" s="909"/>
      <c r="G817" s="910" t="s">
        <v>5113</v>
      </c>
      <c r="H817" s="911"/>
      <c r="I817" s="911"/>
      <c r="J817" s="912"/>
      <c r="K817" s="911"/>
      <c r="L817" s="913"/>
      <c r="M817" s="913"/>
      <c r="N817" s="914"/>
      <c r="O817" s="913"/>
      <c r="P817" s="913"/>
      <c r="Q817" s="913"/>
      <c r="R817" s="914"/>
      <c r="S817" s="911"/>
      <c r="T817" s="873"/>
      <c r="V817" s="892"/>
      <c r="W817" s="892"/>
      <c r="X817" s="833"/>
      <c r="Y817" s="834"/>
      <c r="Z817" s="830"/>
      <c r="AA817" s="831"/>
      <c r="AB817" s="204">
        <f t="shared" si="132"/>
        <v>0</v>
      </c>
    </row>
    <row r="818" spans="1:28" s="204" customFormat="1" ht="15.75" hidden="1" thickBot="1" x14ac:dyDescent="0.3">
      <c r="A818" s="884"/>
      <c r="B818" s="885"/>
      <c r="C818" s="907"/>
      <c r="D818" s="884"/>
      <c r="E818" s="915"/>
      <c r="F818" s="933" t="s">
        <v>235</v>
      </c>
      <c r="G818" s="917" t="s">
        <v>236</v>
      </c>
      <c r="H818" s="887">
        <f>SUM(H815:H816)</f>
        <v>0</v>
      </c>
      <c r="I818" s="887">
        <f>SUM(I815:I816)</f>
        <v>0</v>
      </c>
      <c r="J818" s="888" t="e">
        <f>I818/H818</f>
        <v>#DIV/0!</v>
      </c>
      <c r="K818" s="887">
        <f>SUM(K815:K816)</f>
        <v>0</v>
      </c>
      <c r="L818" s="918">
        <f>SUM(L815:L815)</f>
        <v>0</v>
      </c>
      <c r="M818" s="918">
        <f>SUM(M815:M815)</f>
        <v>0</v>
      </c>
      <c r="N818" s="919"/>
      <c r="O818" s="918">
        <f>SUM(O815:O815)</f>
        <v>0</v>
      </c>
      <c r="P818" s="918">
        <f>SUM(P815:P816)</f>
        <v>0</v>
      </c>
      <c r="Q818" s="918">
        <f>SUM(Q815:Q816)</f>
        <v>0</v>
      </c>
      <c r="R818" s="919" t="e">
        <f>Q818/P818</f>
        <v>#DIV/0!</v>
      </c>
      <c r="S818" s="918">
        <f>SUM(S815:S816)</f>
        <v>0</v>
      </c>
      <c r="T818" s="873"/>
      <c r="V818" s="892"/>
      <c r="W818" s="892"/>
      <c r="X818" s="833"/>
      <c r="Y818" s="834"/>
      <c r="Z818" s="830"/>
      <c r="AA818" s="831"/>
      <c r="AB818" s="204">
        <f t="shared" si="132"/>
        <v>0</v>
      </c>
    </row>
    <row r="819" spans="1:28" s="204" customFormat="1" ht="15.75" hidden="1" thickBot="1" x14ac:dyDescent="0.3">
      <c r="A819" s="884"/>
      <c r="B819" s="885"/>
      <c r="C819" s="907"/>
      <c r="D819" s="884"/>
      <c r="E819" s="885"/>
      <c r="F819" s="884"/>
      <c r="G819" s="920" t="s">
        <v>5114</v>
      </c>
      <c r="H819" s="921">
        <f t="shared" ref="H819:M819" si="138">SUM(H818)</f>
        <v>0</v>
      </c>
      <c r="I819" s="921">
        <f t="shared" si="138"/>
        <v>0</v>
      </c>
      <c r="J819" s="922" t="e">
        <f t="shared" si="138"/>
        <v>#DIV/0!</v>
      </c>
      <c r="K819" s="921">
        <f t="shared" si="138"/>
        <v>0</v>
      </c>
      <c r="L819" s="923">
        <f t="shared" si="138"/>
        <v>0</v>
      </c>
      <c r="M819" s="923">
        <f t="shared" si="138"/>
        <v>0</v>
      </c>
      <c r="N819" s="924"/>
      <c r="O819" s="923">
        <f>SUM(O818)</f>
        <v>0</v>
      </c>
      <c r="P819" s="923">
        <f>SUM(P818)</f>
        <v>0</v>
      </c>
      <c r="Q819" s="923">
        <f>SUM(Q818)</f>
        <v>0</v>
      </c>
      <c r="R819" s="924" t="e">
        <f>SUM(R818)</f>
        <v>#DIV/0!</v>
      </c>
      <c r="S819" s="923">
        <f>SUM(S818)</f>
        <v>0</v>
      </c>
      <c r="T819" s="873"/>
      <c r="V819" s="892"/>
      <c r="W819" s="892"/>
      <c r="X819" s="833"/>
      <c r="Y819" s="834"/>
      <c r="Z819" s="830"/>
      <c r="AA819" s="831"/>
      <c r="AB819" s="204">
        <f t="shared" si="132"/>
        <v>0</v>
      </c>
    </row>
    <row r="820" spans="1:28" s="204" customFormat="1" hidden="1" x14ac:dyDescent="0.25">
      <c r="A820" s="884"/>
      <c r="B820" s="885"/>
      <c r="C820" s="907"/>
      <c r="D820" s="884"/>
      <c r="E820" s="908"/>
      <c r="F820" s="909"/>
      <c r="G820" s="925" t="s">
        <v>5111</v>
      </c>
      <c r="H820" s="926"/>
      <c r="I820" s="927"/>
      <c r="J820" s="928"/>
      <c r="K820" s="927"/>
      <c r="L820" s="929"/>
      <c r="M820" s="930"/>
      <c r="N820" s="931"/>
      <c r="O820" s="930"/>
      <c r="P820" s="930"/>
      <c r="Q820" s="930"/>
      <c r="R820" s="931"/>
      <c r="S820" s="932"/>
      <c r="T820" s="873"/>
      <c r="V820" s="892"/>
      <c r="W820" s="892"/>
      <c r="X820" s="833"/>
      <c r="Y820" s="834"/>
      <c r="Z820" s="830"/>
      <c r="AA820" s="831"/>
      <c r="AB820" s="204">
        <f t="shared" si="132"/>
        <v>0</v>
      </c>
    </row>
    <row r="821" spans="1:28" s="204" customFormat="1" ht="15.75" hidden="1" thickBot="1" x14ac:dyDescent="0.3">
      <c r="A821" s="884"/>
      <c r="B821" s="885"/>
      <c r="C821" s="907"/>
      <c r="D821" s="884"/>
      <c r="E821" s="915"/>
      <c r="F821" s="933" t="s">
        <v>235</v>
      </c>
      <c r="G821" s="917" t="s">
        <v>236</v>
      </c>
      <c r="H821" s="887">
        <f>SUM(H818)</f>
        <v>0</v>
      </c>
      <c r="I821" s="887">
        <f t="shared" ref="I821:S821" si="139">SUM(I818)</f>
        <v>0</v>
      </c>
      <c r="J821" s="888" t="e">
        <f t="shared" si="139"/>
        <v>#DIV/0!</v>
      </c>
      <c r="K821" s="887">
        <f t="shared" si="139"/>
        <v>0</v>
      </c>
      <c r="L821" s="918">
        <f t="shared" si="139"/>
        <v>0</v>
      </c>
      <c r="M821" s="918">
        <f t="shared" si="139"/>
        <v>0</v>
      </c>
      <c r="N821" s="919">
        <f t="shared" si="139"/>
        <v>0</v>
      </c>
      <c r="O821" s="918">
        <f t="shared" si="139"/>
        <v>0</v>
      </c>
      <c r="P821" s="918">
        <f t="shared" si="139"/>
        <v>0</v>
      </c>
      <c r="Q821" s="918">
        <f t="shared" si="139"/>
        <v>0</v>
      </c>
      <c r="R821" s="919" t="e">
        <f t="shared" si="139"/>
        <v>#DIV/0!</v>
      </c>
      <c r="S821" s="918">
        <f t="shared" si="139"/>
        <v>0</v>
      </c>
      <c r="T821" s="873"/>
      <c r="V821" s="892"/>
      <c r="W821" s="892"/>
      <c r="X821" s="833"/>
      <c r="Y821" s="834"/>
      <c r="Z821" s="830"/>
      <c r="AA821" s="831"/>
      <c r="AB821" s="204">
        <f t="shared" si="132"/>
        <v>0</v>
      </c>
    </row>
    <row r="822" spans="1:28" s="204" customFormat="1" ht="15.75" hidden="1" thickBot="1" x14ac:dyDescent="0.3">
      <c r="A822" s="884"/>
      <c r="B822" s="885"/>
      <c r="C822" s="907"/>
      <c r="D822" s="884"/>
      <c r="E822" s="885"/>
      <c r="F822" s="884"/>
      <c r="G822" s="920" t="s">
        <v>5112</v>
      </c>
      <c r="H822" s="921">
        <f>H821</f>
        <v>0</v>
      </c>
      <c r="I822" s="921">
        <f t="shared" ref="I822:S822" si="140">I821</f>
        <v>0</v>
      </c>
      <c r="J822" s="922" t="e">
        <f t="shared" si="140"/>
        <v>#DIV/0!</v>
      </c>
      <c r="K822" s="921">
        <f t="shared" si="140"/>
        <v>0</v>
      </c>
      <c r="L822" s="923">
        <f t="shared" si="140"/>
        <v>0</v>
      </c>
      <c r="M822" s="923">
        <f t="shared" si="140"/>
        <v>0</v>
      </c>
      <c r="N822" s="924">
        <f t="shared" si="140"/>
        <v>0</v>
      </c>
      <c r="O822" s="923">
        <f t="shared" si="140"/>
        <v>0</v>
      </c>
      <c r="P822" s="923">
        <f t="shared" si="140"/>
        <v>0</v>
      </c>
      <c r="Q822" s="923">
        <f t="shared" si="140"/>
        <v>0</v>
      </c>
      <c r="R822" s="924" t="e">
        <f t="shared" si="140"/>
        <v>#DIV/0!</v>
      </c>
      <c r="S822" s="923">
        <f t="shared" si="140"/>
        <v>0</v>
      </c>
      <c r="T822" s="873"/>
      <c r="V822" s="892"/>
      <c r="W822" s="892"/>
      <c r="X822" s="833"/>
      <c r="Y822" s="834"/>
      <c r="Z822" s="830"/>
      <c r="AA822" s="831"/>
      <c r="AB822" s="204">
        <f t="shared" si="132"/>
        <v>0</v>
      </c>
    </row>
    <row r="823" spans="1:28" s="204" customFormat="1" hidden="1" x14ac:dyDescent="0.25">
      <c r="A823" s="881"/>
      <c r="B823" s="882"/>
      <c r="C823" s="901"/>
      <c r="D823" s="881"/>
      <c r="E823" s="882"/>
      <c r="F823" s="884"/>
      <c r="G823" s="962"/>
      <c r="H823" s="964"/>
      <c r="I823" s="964"/>
      <c r="J823" s="965"/>
      <c r="K823" s="964"/>
      <c r="L823" s="966"/>
      <c r="M823" s="966"/>
      <c r="N823" s="967"/>
      <c r="O823" s="966"/>
      <c r="P823" s="966"/>
      <c r="Q823" s="966"/>
      <c r="R823" s="967"/>
      <c r="S823" s="966"/>
      <c r="T823" s="873"/>
      <c r="V823" s="892"/>
      <c r="W823" s="892"/>
      <c r="X823" s="833"/>
      <c r="Y823" s="834"/>
      <c r="Z823" s="830"/>
      <c r="AA823" s="831"/>
      <c r="AB823" s="204">
        <f t="shared" si="132"/>
        <v>0</v>
      </c>
    </row>
    <row r="824" spans="1:28" s="204" customFormat="1" x14ac:dyDescent="0.25">
      <c r="A824" s="884"/>
      <c r="B824" s="883"/>
      <c r="C824" s="907"/>
      <c r="D824" s="884"/>
      <c r="E824" s="885"/>
      <c r="F824" s="909"/>
      <c r="G824" s="977" t="s">
        <v>4161</v>
      </c>
      <c r="H824" s="978"/>
      <c r="I824" s="978"/>
      <c r="J824" s="979"/>
      <c r="K824" s="978"/>
      <c r="L824" s="891"/>
      <c r="M824" s="891"/>
      <c r="N824" s="980"/>
      <c r="O824" s="891"/>
      <c r="P824" s="891"/>
      <c r="Q824" s="891"/>
      <c r="R824" s="980"/>
      <c r="S824" s="978"/>
      <c r="T824" s="873"/>
      <c r="V824" s="892"/>
      <c r="W824" s="892"/>
      <c r="X824" s="833"/>
      <c r="Y824" s="834"/>
      <c r="Z824" s="830"/>
      <c r="AA824" s="831"/>
      <c r="AB824" s="204">
        <f t="shared" si="132"/>
        <v>0</v>
      </c>
    </row>
    <row r="825" spans="1:28" s="204" customFormat="1" x14ac:dyDescent="0.25">
      <c r="A825" s="884"/>
      <c r="B825" s="915"/>
      <c r="C825" s="907"/>
      <c r="D825" s="884"/>
      <c r="E825" s="885"/>
      <c r="F825" s="933" t="s">
        <v>235</v>
      </c>
      <c r="G825" s="917" t="s">
        <v>236</v>
      </c>
      <c r="H825" s="887">
        <f>H796+H821+H808</f>
        <v>4628545</v>
      </c>
      <c r="I825" s="887">
        <f>I796+I821+I808</f>
        <v>220000</v>
      </c>
      <c r="J825" s="888">
        <f>I825/H825</f>
        <v>4.753113559444707E-2</v>
      </c>
      <c r="K825" s="887">
        <f>K796+K821+K808</f>
        <v>4408545</v>
      </c>
      <c r="L825" s="918">
        <f>L796+L821+L808</f>
        <v>0</v>
      </c>
      <c r="M825" s="918">
        <f>M796+M821+M808</f>
        <v>0</v>
      </c>
      <c r="N825" s="919"/>
      <c r="O825" s="918">
        <f>O796+O821</f>
        <v>0</v>
      </c>
      <c r="P825" s="918">
        <f>P796+P821+P808</f>
        <v>4628545</v>
      </c>
      <c r="Q825" s="918">
        <f>Q796+Q821+Q808</f>
        <v>220000</v>
      </c>
      <c r="R825" s="919">
        <f>Q825/P825</f>
        <v>4.753113559444707E-2</v>
      </c>
      <c r="S825" s="918">
        <f>P825-Q825</f>
        <v>4408545</v>
      </c>
      <c r="T825" s="873"/>
      <c r="V825" s="892"/>
      <c r="W825" s="892"/>
      <c r="X825" s="833"/>
      <c r="Y825" s="834"/>
      <c r="Z825" s="830"/>
      <c r="AA825" s="831"/>
      <c r="AB825" s="204">
        <f t="shared" si="132"/>
        <v>0</v>
      </c>
    </row>
    <row r="826" spans="1:28" s="204" customFormat="1" x14ac:dyDescent="0.25">
      <c r="A826" s="884"/>
      <c r="B826" s="915"/>
      <c r="C826" s="907"/>
      <c r="D826" s="884"/>
      <c r="E826" s="885"/>
      <c r="F826" s="916">
        <v>10</v>
      </c>
      <c r="G826" s="917" t="s">
        <v>13</v>
      </c>
      <c r="H826" s="887">
        <f>H809</f>
        <v>0</v>
      </c>
      <c r="I826" s="887"/>
      <c r="J826" s="888"/>
      <c r="K826" s="887"/>
      <c r="L826" s="918">
        <f>L809</f>
        <v>8000000</v>
      </c>
      <c r="M826" s="918">
        <f>M809</f>
        <v>0</v>
      </c>
      <c r="N826" s="919"/>
      <c r="O826" s="918"/>
      <c r="P826" s="918">
        <f>P809</f>
        <v>8000000</v>
      </c>
      <c r="Q826" s="918">
        <f>Q809</f>
        <v>0</v>
      </c>
      <c r="R826" s="919"/>
      <c r="S826" s="918"/>
      <c r="T826" s="873"/>
      <c r="V826" s="892"/>
      <c r="W826" s="892"/>
      <c r="X826" s="833"/>
      <c r="Y826" s="834"/>
      <c r="Z826" s="830"/>
      <c r="AA826" s="831"/>
    </row>
    <row r="827" spans="1:28" s="204" customFormat="1" ht="15.75" thickBot="1" x14ac:dyDescent="0.3">
      <c r="A827" s="884"/>
      <c r="B827" s="915"/>
      <c r="C827" s="907"/>
      <c r="D827" s="884"/>
      <c r="E827" s="885"/>
      <c r="F827" s="916" t="s">
        <v>256</v>
      </c>
      <c r="G827" s="917" t="s">
        <v>257</v>
      </c>
      <c r="H827" s="887">
        <f>H810</f>
        <v>0</v>
      </c>
      <c r="I827" s="887"/>
      <c r="J827" s="888"/>
      <c r="K827" s="887"/>
      <c r="L827" s="918">
        <f>L810</f>
        <v>291120.15999999997</v>
      </c>
      <c r="M827" s="918">
        <f>M810</f>
        <v>0</v>
      </c>
      <c r="N827" s="919">
        <f>N810</f>
        <v>0</v>
      </c>
      <c r="O827" s="918">
        <f>O810</f>
        <v>0</v>
      </c>
      <c r="P827" s="918">
        <f>P810</f>
        <v>291120.15999999997</v>
      </c>
      <c r="Q827" s="918"/>
      <c r="R827" s="919"/>
      <c r="S827" s="918"/>
      <c r="T827" s="873"/>
      <c r="V827" s="892"/>
      <c r="W827" s="892"/>
      <c r="X827" s="833"/>
      <c r="Y827" s="834"/>
      <c r="Z827" s="830"/>
      <c r="AA827" s="831"/>
    </row>
    <row r="828" spans="1:28" s="204" customFormat="1" ht="15.75" thickBot="1" x14ac:dyDescent="0.3">
      <c r="A828" s="884"/>
      <c r="B828" s="885"/>
      <c r="C828" s="907"/>
      <c r="D828" s="884"/>
      <c r="E828" s="885"/>
      <c r="F828" s="884"/>
      <c r="G828" s="920" t="s">
        <v>4162</v>
      </c>
      <c r="H828" s="921">
        <f>SUM(H825:H826)</f>
        <v>4628545</v>
      </c>
      <c r="I828" s="921">
        <f t="shared" ref="I828:S828" si="141">SUM(I825)</f>
        <v>220000</v>
      </c>
      <c r="J828" s="922">
        <f t="shared" si="141"/>
        <v>4.753113559444707E-2</v>
      </c>
      <c r="K828" s="921">
        <f t="shared" si="141"/>
        <v>4408545</v>
      </c>
      <c r="L828" s="923">
        <f>SUM(L825:L827)</f>
        <v>8291120.1600000001</v>
      </c>
      <c r="M828" s="923">
        <f t="shared" si="141"/>
        <v>0</v>
      </c>
      <c r="N828" s="924"/>
      <c r="O828" s="923">
        <f t="shared" si="141"/>
        <v>0</v>
      </c>
      <c r="P828" s="923">
        <f>SUM(P825:P827)</f>
        <v>12919665.16</v>
      </c>
      <c r="Q828" s="923">
        <f t="shared" si="141"/>
        <v>220000</v>
      </c>
      <c r="R828" s="924">
        <f t="shared" si="141"/>
        <v>4.753113559444707E-2</v>
      </c>
      <c r="S828" s="923">
        <f t="shared" si="141"/>
        <v>4408545</v>
      </c>
      <c r="T828" s="873"/>
      <c r="V828" s="892"/>
      <c r="W828" s="892"/>
      <c r="X828" s="833"/>
      <c r="Y828" s="834"/>
      <c r="Z828" s="830"/>
      <c r="AA828" s="831"/>
      <c r="AB828" s="204">
        <f t="shared" si="132"/>
        <v>0</v>
      </c>
    </row>
    <row r="829" spans="1:28" s="204" customFormat="1" x14ac:dyDescent="0.25">
      <c r="A829" s="881"/>
      <c r="B829" s="882"/>
      <c r="C829" s="901"/>
      <c r="D829" s="1003"/>
      <c r="E829" s="1004"/>
      <c r="F829" s="884"/>
      <c r="G829" s="962"/>
      <c r="H829" s="964"/>
      <c r="I829" s="964"/>
      <c r="J829" s="965"/>
      <c r="K829" s="964"/>
      <c r="L829" s="966"/>
      <c r="M829" s="966"/>
      <c r="N829" s="967"/>
      <c r="O829" s="966"/>
      <c r="P829" s="966"/>
      <c r="Q829" s="966"/>
      <c r="R829" s="967"/>
      <c r="S829" s="966"/>
      <c r="T829" s="873"/>
      <c r="V829" s="892"/>
      <c r="W829" s="892"/>
      <c r="X829" s="833"/>
      <c r="Y829" s="834"/>
      <c r="Z829" s="830"/>
      <c r="AA829" s="831"/>
      <c r="AB829" s="204">
        <f t="shared" si="132"/>
        <v>0</v>
      </c>
    </row>
    <row r="830" spans="1:28" s="972" customFormat="1" x14ac:dyDescent="0.25">
      <c r="A830" s="767"/>
      <c r="B830" s="768"/>
      <c r="C830" s="968"/>
      <c r="D830" s="981"/>
      <c r="E830" s="982"/>
      <c r="F830" s="759"/>
      <c r="G830" s="811"/>
      <c r="H830" s="763"/>
      <c r="I830" s="764"/>
      <c r="J830" s="813"/>
      <c r="K830" s="812"/>
      <c r="L830" s="814"/>
      <c r="M830" s="814"/>
      <c r="N830" s="815"/>
      <c r="O830" s="814"/>
      <c r="P830" s="814"/>
      <c r="Q830" s="814"/>
      <c r="R830" s="815"/>
      <c r="S830" s="814"/>
      <c r="T830" s="971"/>
      <c r="V830" s="973"/>
      <c r="W830" s="973"/>
      <c r="X830" s="833"/>
      <c r="Y830" s="834"/>
      <c r="Z830" s="830"/>
      <c r="AA830" s="831"/>
      <c r="AB830" s="972">
        <f t="shared" si="132"/>
        <v>0</v>
      </c>
    </row>
    <row r="831" spans="1:28" ht="42.75" x14ac:dyDescent="0.25">
      <c r="C831" s="761" t="s">
        <v>3579</v>
      </c>
      <c r="G831" s="762" t="s">
        <v>5016</v>
      </c>
      <c r="AB831" s="84">
        <f t="shared" si="132"/>
        <v>0</v>
      </c>
    </row>
    <row r="832" spans="1:28" s="972" customFormat="1" ht="29.25" x14ac:dyDescent="0.25">
      <c r="A832" s="767"/>
      <c r="B832" s="768"/>
      <c r="C832" s="769" t="s">
        <v>4219</v>
      </c>
      <c r="D832" s="770"/>
      <c r="E832" s="771"/>
      <c r="F832" s="772"/>
      <c r="G832" s="773" t="s">
        <v>5115</v>
      </c>
      <c r="H832" s="774"/>
      <c r="I832" s="774"/>
      <c r="J832" s="775"/>
      <c r="K832" s="774"/>
      <c r="L832" s="776"/>
      <c r="M832" s="776"/>
      <c r="N832" s="777"/>
      <c r="O832" s="776"/>
      <c r="P832" s="776"/>
      <c r="Q832" s="776"/>
      <c r="R832" s="777"/>
      <c r="S832" s="970"/>
      <c r="T832" s="971"/>
      <c r="V832" s="973"/>
      <c r="W832" s="973"/>
      <c r="X832" s="833"/>
      <c r="Y832" s="834"/>
      <c r="Z832" s="830"/>
      <c r="AA832" s="831"/>
      <c r="AB832" s="972">
        <f t="shared" si="132"/>
        <v>0</v>
      </c>
    </row>
    <row r="833" spans="1:31" x14ac:dyDescent="0.25">
      <c r="C833" s="761"/>
      <c r="D833" s="778">
        <v>451</v>
      </c>
      <c r="E833" s="779"/>
      <c r="F833" s="778"/>
      <c r="G833" s="780" t="s">
        <v>154</v>
      </c>
      <c r="AB833" s="84">
        <f t="shared" si="132"/>
        <v>0</v>
      </c>
    </row>
    <row r="834" spans="1:31" hidden="1" x14ac:dyDescent="0.25">
      <c r="C834" s="761"/>
      <c r="D834" s="778"/>
      <c r="E834" s="779"/>
      <c r="F834" s="759">
        <v>423</v>
      </c>
      <c r="G834" s="781" t="s">
        <v>3783</v>
      </c>
      <c r="H834" s="763">
        <v>0</v>
      </c>
      <c r="I834" s="763">
        <v>0</v>
      </c>
      <c r="J834" s="764" t="e">
        <f>I834/H834</f>
        <v>#DIV/0!</v>
      </c>
      <c r="K834" s="763">
        <f>H834-I834</f>
        <v>0</v>
      </c>
      <c r="L834" s="765">
        <v>0</v>
      </c>
      <c r="M834" s="765">
        <v>0</v>
      </c>
      <c r="O834" s="765">
        <f>L834-M834</f>
        <v>0</v>
      </c>
      <c r="P834" s="765">
        <f t="shared" ref="P834:Q837" si="142">L834+H834</f>
        <v>0</v>
      </c>
      <c r="Q834" s="765">
        <f t="shared" si="142"/>
        <v>0</v>
      </c>
      <c r="R834" s="766" t="e">
        <f>Q834/P834</f>
        <v>#DIV/0!</v>
      </c>
      <c r="S834" s="765">
        <f>P834-Q834</f>
        <v>0</v>
      </c>
      <c r="AB834" s="84">
        <f t="shared" si="132"/>
        <v>0</v>
      </c>
    </row>
    <row r="835" spans="1:31" ht="15.75" thickBot="1" x14ac:dyDescent="0.3">
      <c r="A835" s="84"/>
      <c r="B835" s="84"/>
      <c r="C835" s="84"/>
      <c r="D835" s="84"/>
      <c r="E835" s="760" t="s">
        <v>5221</v>
      </c>
      <c r="F835" s="782">
        <v>425</v>
      </c>
      <c r="G835" s="783" t="s">
        <v>4127</v>
      </c>
      <c r="H835" s="763">
        <v>32572296</v>
      </c>
      <c r="I835" s="763">
        <f>25849650.94+47774.4+689696.56</f>
        <v>26587121.899999999</v>
      </c>
      <c r="J835" s="764">
        <f>I835/H835</f>
        <v>0.81624954838922004</v>
      </c>
      <c r="K835" s="763">
        <f>H835-I835</f>
        <v>5985174.1000000015</v>
      </c>
      <c r="L835" s="765">
        <v>0</v>
      </c>
      <c r="M835" s="765">
        <v>0</v>
      </c>
      <c r="O835" s="765">
        <f>L835-M835</f>
        <v>0</v>
      </c>
      <c r="P835" s="765">
        <f t="shared" si="142"/>
        <v>32572296</v>
      </c>
      <c r="Q835" s="765">
        <f t="shared" si="142"/>
        <v>26587121.899999999</v>
      </c>
      <c r="R835" s="766">
        <f>Q835/P835</f>
        <v>0.81624954838922004</v>
      </c>
      <c r="S835" s="765">
        <f>P835-Q835</f>
        <v>5985174.1000000015</v>
      </c>
      <c r="T835" s="84"/>
      <c r="V835" s="203">
        <f>887121.9+457000+600000</f>
        <v>1944121.9</v>
      </c>
      <c r="Y835" s="834">
        <v>1945000</v>
      </c>
      <c r="Z835" s="830">
        <f>H835-X835+Y835</f>
        <v>34517296</v>
      </c>
      <c r="AA835" s="831">
        <v>25700000</v>
      </c>
      <c r="AB835" s="84">
        <f t="shared" si="132"/>
        <v>8817296</v>
      </c>
      <c r="AE835" s="84">
        <f>H835-AA835</f>
        <v>6872296</v>
      </c>
    </row>
    <row r="836" spans="1:31" hidden="1" x14ac:dyDescent="0.25">
      <c r="A836" s="84"/>
      <c r="B836" s="84"/>
      <c r="C836" s="84"/>
      <c r="D836" s="84"/>
      <c r="F836" s="782">
        <v>426</v>
      </c>
      <c r="G836" s="783" t="s">
        <v>3789</v>
      </c>
      <c r="H836" s="763">
        <v>0</v>
      </c>
      <c r="I836" s="763">
        <v>0</v>
      </c>
      <c r="J836" s="764" t="e">
        <f>I836/H836</f>
        <v>#DIV/0!</v>
      </c>
      <c r="K836" s="763">
        <f>H836-I836</f>
        <v>0</v>
      </c>
      <c r="L836" s="765">
        <v>0</v>
      </c>
      <c r="M836" s="765">
        <v>0</v>
      </c>
      <c r="N836" s="766" t="e">
        <f>M836/L836</f>
        <v>#DIV/0!</v>
      </c>
      <c r="O836" s="765">
        <f>L836-M836</f>
        <v>0</v>
      </c>
      <c r="P836" s="765">
        <f t="shared" si="142"/>
        <v>0</v>
      </c>
      <c r="Q836" s="765">
        <f t="shared" si="142"/>
        <v>0</v>
      </c>
      <c r="R836" s="766" t="e">
        <f>Q836/P836</f>
        <v>#DIV/0!</v>
      </c>
      <c r="S836" s="765">
        <f>P836-Q836</f>
        <v>0</v>
      </c>
      <c r="T836" s="84"/>
      <c r="Z836" s="830">
        <f>H836-X836+Y836</f>
        <v>0</v>
      </c>
      <c r="AB836" s="84">
        <f t="shared" si="132"/>
        <v>0</v>
      </c>
      <c r="AE836" s="84">
        <f>H836-AA836</f>
        <v>0</v>
      </c>
    </row>
    <row r="837" spans="1:31" ht="15.75" hidden="1" thickBot="1" x14ac:dyDescent="0.3">
      <c r="A837" s="84"/>
      <c r="B837" s="84"/>
      <c r="C837" s="84"/>
      <c r="D837" s="84"/>
      <c r="E837" s="760" t="s">
        <v>5370</v>
      </c>
      <c r="F837" s="782">
        <v>511</v>
      </c>
      <c r="G837" s="783" t="s">
        <v>4141</v>
      </c>
      <c r="H837" s="763">
        <v>0</v>
      </c>
      <c r="I837" s="763">
        <v>0</v>
      </c>
      <c r="K837" s="763">
        <f>H837-I837</f>
        <v>0</v>
      </c>
      <c r="L837" s="765">
        <v>0</v>
      </c>
      <c r="M837" s="765">
        <v>290000</v>
      </c>
      <c r="N837" s="766" t="e">
        <f>M837/L837</f>
        <v>#DIV/0!</v>
      </c>
      <c r="O837" s="765">
        <f>L837-M837</f>
        <v>-290000</v>
      </c>
      <c r="P837" s="765">
        <f t="shared" si="142"/>
        <v>0</v>
      </c>
      <c r="Q837" s="765">
        <f t="shared" si="142"/>
        <v>290000</v>
      </c>
      <c r="R837" s="766" t="e">
        <f>Q837/P837</f>
        <v>#DIV/0!</v>
      </c>
      <c r="S837" s="765">
        <f>P837-Q837</f>
        <v>-290000</v>
      </c>
      <c r="T837" s="84"/>
      <c r="Z837" s="830">
        <f>H837-X837+Y837</f>
        <v>0</v>
      </c>
      <c r="AA837" s="831">
        <v>0</v>
      </c>
      <c r="AB837" s="84">
        <f t="shared" si="132"/>
        <v>0</v>
      </c>
      <c r="AE837" s="84">
        <f>H837-AA837</f>
        <v>0</v>
      </c>
    </row>
    <row r="838" spans="1:31" x14ac:dyDescent="0.25">
      <c r="A838" s="84"/>
      <c r="B838" s="84"/>
      <c r="C838" s="84"/>
      <c r="D838" s="84"/>
      <c r="E838" s="784"/>
      <c r="F838" s="785"/>
      <c r="G838" s="786" t="s">
        <v>5116</v>
      </c>
      <c r="H838" s="787"/>
      <c r="I838" s="787"/>
      <c r="J838" s="788"/>
      <c r="K838" s="787"/>
      <c r="L838" s="789"/>
      <c r="M838" s="789"/>
      <c r="N838" s="790"/>
      <c r="O838" s="789"/>
      <c r="P838" s="789"/>
      <c r="Q838" s="789"/>
      <c r="R838" s="790"/>
      <c r="S838" s="877"/>
      <c r="T838" s="84"/>
      <c r="AB838" s="84">
        <f t="shared" si="132"/>
        <v>0</v>
      </c>
    </row>
    <row r="839" spans="1:31" ht="15.75" thickBot="1" x14ac:dyDescent="0.3">
      <c r="A839" s="84"/>
      <c r="B839" s="84"/>
      <c r="C839" s="84"/>
      <c r="D839" s="84"/>
      <c r="E839" s="791"/>
      <c r="F839" s="792" t="s">
        <v>235</v>
      </c>
      <c r="G839" s="793" t="s">
        <v>236</v>
      </c>
      <c r="H839" s="794">
        <f>SUM(H834:H837)</f>
        <v>32572296</v>
      </c>
      <c r="I839" s="794">
        <f>SUM(I834:I837)</f>
        <v>26587121.899999999</v>
      </c>
      <c r="J839" s="795">
        <f t="shared" ref="J839:J855" si="143">I839/H839</f>
        <v>0.81624954838922004</v>
      </c>
      <c r="K839" s="794">
        <f>SUM(K834:K837)</f>
        <v>5985174.1000000015</v>
      </c>
      <c r="L839" s="796">
        <v>0</v>
      </c>
      <c r="M839" s="796">
        <v>0</v>
      </c>
      <c r="N839" s="797"/>
      <c r="O839" s="796">
        <f>L839-M839</f>
        <v>0</v>
      </c>
      <c r="P839" s="796">
        <f>L839+H839</f>
        <v>32572296</v>
      </c>
      <c r="Q839" s="796">
        <f>M839+I839</f>
        <v>26587121.899999999</v>
      </c>
      <c r="R839" s="797">
        <f>Q839/P839</f>
        <v>0.81624954838922004</v>
      </c>
      <c r="S839" s="796">
        <f>P839-Q839</f>
        <v>5985174.1000000015</v>
      </c>
      <c r="T839" s="84"/>
      <c r="AB839" s="84">
        <f t="shared" si="132"/>
        <v>0</v>
      </c>
    </row>
    <row r="840" spans="1:31" hidden="1" x14ac:dyDescent="0.25">
      <c r="A840" s="84"/>
      <c r="B840" s="84"/>
      <c r="C840" s="84"/>
      <c r="D840" s="84"/>
      <c r="F840" s="792" t="s">
        <v>237</v>
      </c>
      <c r="G840" s="793" t="s">
        <v>238</v>
      </c>
      <c r="J840" s="764" t="e">
        <f t="shared" si="143"/>
        <v>#DIV/0!</v>
      </c>
      <c r="R840" s="766" t="e">
        <f t="shared" ref="R840:R855" si="144">Q840/P840</f>
        <v>#DIV/0!</v>
      </c>
      <c r="S840" s="796" t="e">
        <f t="shared" ref="S840:S854" si="145">SUM(H840:L840)</f>
        <v>#DIV/0!</v>
      </c>
      <c r="T840" s="84"/>
      <c r="AB840" s="84">
        <f t="shared" si="132"/>
        <v>0</v>
      </c>
    </row>
    <row r="841" spans="1:31" hidden="1" x14ac:dyDescent="0.25">
      <c r="A841" s="84"/>
      <c r="B841" s="84"/>
      <c r="C841" s="84"/>
      <c r="D841" s="84"/>
      <c r="F841" s="792" t="s">
        <v>239</v>
      </c>
      <c r="G841" s="793" t="s">
        <v>240</v>
      </c>
      <c r="J841" s="764" t="e">
        <f t="shared" si="143"/>
        <v>#DIV/0!</v>
      </c>
      <c r="R841" s="766" t="e">
        <f t="shared" si="144"/>
        <v>#DIV/0!</v>
      </c>
      <c r="S841" s="796" t="e">
        <f t="shared" si="145"/>
        <v>#DIV/0!</v>
      </c>
      <c r="T841" s="84"/>
      <c r="AB841" s="84">
        <f t="shared" si="132"/>
        <v>0</v>
      </c>
    </row>
    <row r="842" spans="1:31" hidden="1" x14ac:dyDescent="0.25">
      <c r="A842" s="84"/>
      <c r="B842" s="84"/>
      <c r="C842" s="84"/>
      <c r="D842" s="84"/>
      <c r="F842" s="792" t="s">
        <v>241</v>
      </c>
      <c r="G842" s="793" t="s">
        <v>242</v>
      </c>
      <c r="J842" s="764" t="e">
        <f t="shared" si="143"/>
        <v>#DIV/0!</v>
      </c>
      <c r="R842" s="766" t="e">
        <f t="shared" si="144"/>
        <v>#DIV/0!</v>
      </c>
      <c r="S842" s="796" t="e">
        <f t="shared" si="145"/>
        <v>#DIV/0!</v>
      </c>
      <c r="T842" s="84"/>
      <c r="AB842" s="84">
        <f t="shared" si="132"/>
        <v>0</v>
      </c>
    </row>
    <row r="843" spans="1:31" hidden="1" x14ac:dyDescent="0.25">
      <c r="A843" s="84"/>
      <c r="B843" s="84"/>
      <c r="C843" s="84"/>
      <c r="D843" s="84"/>
      <c r="F843" s="792" t="s">
        <v>243</v>
      </c>
      <c r="G843" s="793" t="s">
        <v>244</v>
      </c>
      <c r="J843" s="764" t="e">
        <f t="shared" si="143"/>
        <v>#DIV/0!</v>
      </c>
      <c r="R843" s="766" t="e">
        <f t="shared" si="144"/>
        <v>#DIV/0!</v>
      </c>
      <c r="S843" s="796" t="e">
        <f t="shared" si="145"/>
        <v>#DIV/0!</v>
      </c>
      <c r="T843" s="84"/>
      <c r="AB843" s="84">
        <f t="shared" si="132"/>
        <v>0</v>
      </c>
    </row>
    <row r="844" spans="1:31" hidden="1" x14ac:dyDescent="0.25">
      <c r="A844" s="84"/>
      <c r="B844" s="84"/>
      <c r="C844" s="84"/>
      <c r="D844" s="84"/>
      <c r="F844" s="792" t="s">
        <v>245</v>
      </c>
      <c r="G844" s="793" t="s">
        <v>246</v>
      </c>
      <c r="J844" s="764" t="e">
        <f t="shared" si="143"/>
        <v>#DIV/0!</v>
      </c>
      <c r="R844" s="766" t="e">
        <f t="shared" si="144"/>
        <v>#DIV/0!</v>
      </c>
      <c r="S844" s="796" t="e">
        <f t="shared" si="145"/>
        <v>#DIV/0!</v>
      </c>
      <c r="T844" s="84"/>
      <c r="AB844" s="84">
        <f t="shared" si="132"/>
        <v>0</v>
      </c>
    </row>
    <row r="845" spans="1:31" hidden="1" x14ac:dyDescent="0.25">
      <c r="A845" s="84"/>
      <c r="B845" s="84"/>
      <c r="C845" s="84"/>
      <c r="D845" s="84"/>
      <c r="F845" s="792" t="s">
        <v>247</v>
      </c>
      <c r="G845" s="793" t="s">
        <v>4745</v>
      </c>
      <c r="J845" s="764" t="e">
        <f t="shared" si="143"/>
        <v>#DIV/0!</v>
      </c>
      <c r="R845" s="766" t="e">
        <f t="shared" si="144"/>
        <v>#DIV/0!</v>
      </c>
      <c r="S845" s="796" t="e">
        <f t="shared" si="145"/>
        <v>#DIV/0!</v>
      </c>
      <c r="T845" s="84"/>
      <c r="AB845" s="84">
        <f t="shared" si="132"/>
        <v>0</v>
      </c>
    </row>
    <row r="846" spans="1:31" ht="30" hidden="1" x14ac:dyDescent="0.25">
      <c r="A846" s="84"/>
      <c r="B846" s="84"/>
      <c r="C846" s="84"/>
      <c r="D846" s="84"/>
      <c r="F846" s="792" t="s">
        <v>248</v>
      </c>
      <c r="G846" s="793" t="s">
        <v>4744</v>
      </c>
      <c r="J846" s="764" t="e">
        <f t="shared" si="143"/>
        <v>#DIV/0!</v>
      </c>
      <c r="R846" s="766" t="e">
        <f t="shared" si="144"/>
        <v>#DIV/0!</v>
      </c>
      <c r="S846" s="796" t="e">
        <f t="shared" si="145"/>
        <v>#DIV/0!</v>
      </c>
      <c r="T846" s="84"/>
      <c r="AB846" s="84">
        <f t="shared" si="132"/>
        <v>0</v>
      </c>
    </row>
    <row r="847" spans="1:31" hidden="1" x14ac:dyDescent="0.25">
      <c r="A847" s="84"/>
      <c r="B847" s="84"/>
      <c r="C847" s="84"/>
      <c r="D847" s="84"/>
      <c r="F847" s="792" t="s">
        <v>249</v>
      </c>
      <c r="G847" s="793" t="s">
        <v>58</v>
      </c>
      <c r="J847" s="764" t="e">
        <f t="shared" si="143"/>
        <v>#DIV/0!</v>
      </c>
      <c r="R847" s="766" t="e">
        <f t="shared" si="144"/>
        <v>#DIV/0!</v>
      </c>
      <c r="S847" s="796" t="e">
        <f t="shared" si="145"/>
        <v>#DIV/0!</v>
      </c>
      <c r="T847" s="84"/>
      <c r="AB847" s="84">
        <f t="shared" si="132"/>
        <v>0</v>
      </c>
    </row>
    <row r="848" spans="1:31" ht="15.75" hidden="1" thickBot="1" x14ac:dyDescent="0.3">
      <c r="A848" s="84"/>
      <c r="B848" s="84"/>
      <c r="C848" s="84"/>
      <c r="D848" s="84"/>
      <c r="F848" s="792" t="s">
        <v>250</v>
      </c>
      <c r="G848" s="793" t="s">
        <v>251</v>
      </c>
      <c r="H848" s="763">
        <v>0</v>
      </c>
      <c r="I848" s="763">
        <v>0</v>
      </c>
      <c r="K848" s="763">
        <v>0</v>
      </c>
      <c r="L848" s="765">
        <f>L837</f>
        <v>0</v>
      </c>
      <c r="M848" s="765">
        <f t="shared" ref="M848:S848" si="146">M837</f>
        <v>290000</v>
      </c>
      <c r="N848" s="766" t="e">
        <f>M848/L848</f>
        <v>#DIV/0!</v>
      </c>
      <c r="O848" s="765">
        <f t="shared" si="146"/>
        <v>-290000</v>
      </c>
      <c r="P848" s="765">
        <f t="shared" si="146"/>
        <v>0</v>
      </c>
      <c r="Q848" s="765">
        <f t="shared" si="146"/>
        <v>290000</v>
      </c>
      <c r="R848" s="766" t="e">
        <f t="shared" si="146"/>
        <v>#DIV/0!</v>
      </c>
      <c r="S848" s="796">
        <f t="shared" si="146"/>
        <v>-290000</v>
      </c>
      <c r="T848" s="84"/>
      <c r="AB848" s="84">
        <f t="shared" si="132"/>
        <v>0</v>
      </c>
    </row>
    <row r="849" spans="1:31" ht="15.75" hidden="1" thickBot="1" x14ac:dyDescent="0.3">
      <c r="A849" s="84"/>
      <c r="B849" s="84"/>
      <c r="C849" s="84"/>
      <c r="D849" s="84"/>
      <c r="F849" s="792" t="s">
        <v>252</v>
      </c>
      <c r="G849" s="793" t="s">
        <v>253</v>
      </c>
      <c r="J849" s="764" t="e">
        <f t="shared" si="143"/>
        <v>#DIV/0!</v>
      </c>
      <c r="R849" s="766" t="e">
        <f t="shared" si="144"/>
        <v>#DIV/0!</v>
      </c>
      <c r="S849" s="796" t="e">
        <f t="shared" si="145"/>
        <v>#DIV/0!</v>
      </c>
      <c r="T849" s="84"/>
      <c r="AB849" s="84">
        <f t="shared" si="132"/>
        <v>0</v>
      </c>
    </row>
    <row r="850" spans="1:31" ht="30.75" hidden="1" thickBot="1" x14ac:dyDescent="0.3">
      <c r="A850" s="84"/>
      <c r="B850" s="84"/>
      <c r="C850" s="84"/>
      <c r="D850" s="84"/>
      <c r="F850" s="792" t="s">
        <v>254</v>
      </c>
      <c r="G850" s="793" t="s">
        <v>255</v>
      </c>
      <c r="J850" s="764" t="e">
        <f t="shared" si="143"/>
        <v>#DIV/0!</v>
      </c>
      <c r="R850" s="766" t="e">
        <f t="shared" si="144"/>
        <v>#DIV/0!</v>
      </c>
      <c r="S850" s="796" t="e">
        <f t="shared" si="145"/>
        <v>#DIV/0!</v>
      </c>
      <c r="T850" s="84"/>
      <c r="AB850" s="84">
        <f t="shared" si="132"/>
        <v>0</v>
      </c>
    </row>
    <row r="851" spans="1:31" ht="15.75" hidden="1" thickBot="1" x14ac:dyDescent="0.3">
      <c r="A851" s="84"/>
      <c r="B851" s="84"/>
      <c r="C851" s="84"/>
      <c r="D851" s="84"/>
      <c r="F851" s="792" t="s">
        <v>256</v>
      </c>
      <c r="G851" s="793" t="s">
        <v>257</v>
      </c>
      <c r="J851" s="764" t="e">
        <f t="shared" si="143"/>
        <v>#DIV/0!</v>
      </c>
      <c r="R851" s="766" t="e">
        <f t="shared" si="144"/>
        <v>#DIV/0!</v>
      </c>
      <c r="S851" s="796" t="e">
        <f t="shared" si="145"/>
        <v>#DIV/0!</v>
      </c>
      <c r="T851" s="84"/>
      <c r="AB851" s="84">
        <f t="shared" si="132"/>
        <v>0</v>
      </c>
    </row>
    <row r="852" spans="1:31" ht="30.75" hidden="1" thickBot="1" x14ac:dyDescent="0.3">
      <c r="A852" s="84"/>
      <c r="B852" s="84"/>
      <c r="C852" s="84"/>
      <c r="D852" s="84"/>
      <c r="F852" s="792" t="s">
        <v>258</v>
      </c>
      <c r="G852" s="793" t="s">
        <v>259</v>
      </c>
      <c r="J852" s="764" t="e">
        <f t="shared" si="143"/>
        <v>#DIV/0!</v>
      </c>
      <c r="R852" s="766" t="e">
        <f t="shared" si="144"/>
        <v>#DIV/0!</v>
      </c>
      <c r="S852" s="796" t="e">
        <f t="shared" si="145"/>
        <v>#DIV/0!</v>
      </c>
      <c r="T852" s="84"/>
      <c r="AB852" s="84">
        <f t="shared" si="132"/>
        <v>0</v>
      </c>
    </row>
    <row r="853" spans="1:31" ht="30.75" hidden="1" thickBot="1" x14ac:dyDescent="0.3">
      <c r="A853" s="84"/>
      <c r="B853" s="84"/>
      <c r="C853" s="84"/>
      <c r="D853" s="84"/>
      <c r="F853" s="792" t="s">
        <v>260</v>
      </c>
      <c r="G853" s="793" t="s">
        <v>261</v>
      </c>
      <c r="J853" s="764" t="e">
        <f t="shared" si="143"/>
        <v>#DIV/0!</v>
      </c>
      <c r="R853" s="766" t="e">
        <f t="shared" si="144"/>
        <v>#DIV/0!</v>
      </c>
      <c r="S853" s="796" t="e">
        <f t="shared" si="145"/>
        <v>#DIV/0!</v>
      </c>
      <c r="T853" s="84"/>
      <c r="AB853" s="84">
        <f t="shared" si="132"/>
        <v>0</v>
      </c>
    </row>
    <row r="854" spans="1:31" ht="15.75" hidden="1" thickBot="1" x14ac:dyDescent="0.3">
      <c r="A854" s="84"/>
      <c r="B854" s="84"/>
      <c r="C854" s="84"/>
      <c r="D854" s="84"/>
      <c r="F854" s="792" t="s">
        <v>262</v>
      </c>
      <c r="G854" s="793" t="s">
        <v>263</v>
      </c>
      <c r="H854" s="794"/>
      <c r="I854" s="794"/>
      <c r="J854" s="795" t="e">
        <f t="shared" si="143"/>
        <v>#DIV/0!</v>
      </c>
      <c r="K854" s="794"/>
      <c r="L854" s="796"/>
      <c r="M854" s="796"/>
      <c r="N854" s="797"/>
      <c r="O854" s="796"/>
      <c r="P854" s="796"/>
      <c r="Q854" s="796"/>
      <c r="R854" s="797" t="e">
        <f t="shared" si="144"/>
        <v>#DIV/0!</v>
      </c>
      <c r="S854" s="796" t="e">
        <f t="shared" si="145"/>
        <v>#DIV/0!</v>
      </c>
      <c r="T854" s="84"/>
      <c r="AB854" s="84">
        <f t="shared" si="132"/>
        <v>0</v>
      </c>
    </row>
    <row r="855" spans="1:31" ht="15.75" thickBot="1" x14ac:dyDescent="0.3">
      <c r="A855" s="84"/>
      <c r="B855" s="84"/>
      <c r="C855" s="84"/>
      <c r="D855" s="84"/>
      <c r="G855" s="798" t="s">
        <v>5117</v>
      </c>
      <c r="H855" s="799">
        <f>SUM(H839:H854)</f>
        <v>32572296</v>
      </c>
      <c r="I855" s="799">
        <f>SUM(I839:I854)</f>
        <v>26587121.899999999</v>
      </c>
      <c r="J855" s="800">
        <f t="shared" si="143"/>
        <v>0.81624954838922004</v>
      </c>
      <c r="K855" s="799">
        <f>SUM(K839:K854)</f>
        <v>5985174.1000000015</v>
      </c>
      <c r="L855" s="801">
        <f>SUM(L839:L848)</f>
        <v>0</v>
      </c>
      <c r="M855" s="801">
        <f>SUM(M839:M848)</f>
        <v>290000</v>
      </c>
      <c r="N855" s="802" t="e">
        <f>M855/L855</f>
        <v>#DIV/0!</v>
      </c>
      <c r="O855" s="801">
        <f>L855-M855</f>
        <v>-290000</v>
      </c>
      <c r="P855" s="801">
        <f>L855+H855</f>
        <v>32572296</v>
      </c>
      <c r="Q855" s="801">
        <f>M855+I855</f>
        <v>26877121.899999999</v>
      </c>
      <c r="R855" s="802">
        <f t="shared" si="144"/>
        <v>0.82515282005296764</v>
      </c>
      <c r="S855" s="801">
        <f>P855-Q855</f>
        <v>5695174.1000000015</v>
      </c>
      <c r="T855" s="84"/>
      <c r="AB855" s="84">
        <f t="shared" si="132"/>
        <v>0</v>
      </c>
    </row>
    <row r="856" spans="1:31" ht="30" x14ac:dyDescent="0.25">
      <c r="C856" s="761"/>
      <c r="D856" s="778">
        <v>360</v>
      </c>
      <c r="E856" s="779"/>
      <c r="F856" s="778"/>
      <c r="G856" s="780" t="s">
        <v>3917</v>
      </c>
      <c r="AB856" s="84">
        <f t="shared" si="132"/>
        <v>0</v>
      </c>
    </row>
    <row r="857" spans="1:31" x14ac:dyDescent="0.25">
      <c r="C857" s="761"/>
      <c r="D857" s="778"/>
      <c r="E857" s="760" t="s">
        <v>5222</v>
      </c>
      <c r="F857" s="759">
        <v>423</v>
      </c>
      <c r="G857" s="781" t="s">
        <v>3783</v>
      </c>
      <c r="H857" s="763">
        <v>400000</v>
      </c>
      <c r="I857" s="763">
        <v>136800</v>
      </c>
      <c r="J857" s="764">
        <f>I857/H857</f>
        <v>0.34200000000000003</v>
      </c>
      <c r="K857" s="763">
        <f>H857-I857</f>
        <v>263200</v>
      </c>
      <c r="L857" s="765">
        <v>0</v>
      </c>
      <c r="M857" s="765">
        <v>0</v>
      </c>
      <c r="O857" s="765">
        <f>L857-M857</f>
        <v>0</v>
      </c>
      <c r="P857" s="765">
        <f t="shared" ref="P857:Q859" si="147">L857+H857</f>
        <v>400000</v>
      </c>
      <c r="Q857" s="765">
        <f t="shared" si="147"/>
        <v>136800</v>
      </c>
      <c r="R857" s="766">
        <f>Q857/P857</f>
        <v>0.34200000000000003</v>
      </c>
      <c r="S857" s="765">
        <f>P857-Q857</f>
        <v>263200</v>
      </c>
      <c r="X857" s="833">
        <v>113200</v>
      </c>
      <c r="Z857" s="830">
        <f>H857-X857+Y857</f>
        <v>286800</v>
      </c>
      <c r="AA857" s="831">
        <v>250000</v>
      </c>
      <c r="AB857" s="84">
        <f t="shared" si="132"/>
        <v>36800</v>
      </c>
      <c r="AE857" s="84">
        <f>H857-AA857</f>
        <v>150000</v>
      </c>
    </row>
    <row r="858" spans="1:31" x14ac:dyDescent="0.25">
      <c r="A858" s="84"/>
      <c r="B858" s="84"/>
      <c r="C858" s="84"/>
      <c r="D858" s="84"/>
      <c r="E858" s="760" t="s">
        <v>5223</v>
      </c>
      <c r="F858" s="782">
        <v>426</v>
      </c>
      <c r="G858" s="783" t="s">
        <v>3789</v>
      </c>
      <c r="H858" s="763">
        <v>200000</v>
      </c>
      <c r="I858" s="763">
        <v>196416</v>
      </c>
      <c r="J858" s="764">
        <f>I858/H858</f>
        <v>0.98207999999999995</v>
      </c>
      <c r="K858" s="763">
        <f>H858-I858</f>
        <v>3584</v>
      </c>
      <c r="L858" s="765">
        <v>0</v>
      </c>
      <c r="M858" s="765">
        <v>0</v>
      </c>
      <c r="O858" s="765">
        <f>L858-M858</f>
        <v>0</v>
      </c>
      <c r="P858" s="765">
        <f t="shared" si="147"/>
        <v>200000</v>
      </c>
      <c r="Q858" s="765">
        <f t="shared" si="147"/>
        <v>196416</v>
      </c>
      <c r="R858" s="766">
        <f>Q858/P858</f>
        <v>0.98207999999999995</v>
      </c>
      <c r="S858" s="765">
        <f>P858-Q858</f>
        <v>3584</v>
      </c>
      <c r="T858" s="84"/>
      <c r="X858" s="833">
        <v>203584</v>
      </c>
      <c r="Z858" s="830">
        <f>H858-X858+Y858</f>
        <v>-3584</v>
      </c>
      <c r="AA858" s="831">
        <v>400000</v>
      </c>
      <c r="AB858" s="84">
        <f t="shared" si="132"/>
        <v>-403584</v>
      </c>
      <c r="AE858" s="84">
        <f>H858-AA858</f>
        <v>-200000</v>
      </c>
    </row>
    <row r="859" spans="1:31" ht="15.75" thickBot="1" x14ac:dyDescent="0.3">
      <c r="A859" s="84"/>
      <c r="B859" s="84"/>
      <c r="C859" s="84"/>
      <c r="D859" s="84"/>
      <c r="E859" s="760" t="s">
        <v>5224</v>
      </c>
      <c r="F859" s="782">
        <v>511</v>
      </c>
      <c r="G859" s="783" t="s">
        <v>4141</v>
      </c>
      <c r="H859" s="763">
        <v>0</v>
      </c>
      <c r="I859" s="763">
        <v>0</v>
      </c>
      <c r="J859" s="764" t="e">
        <f>I859/H859</f>
        <v>#DIV/0!</v>
      </c>
      <c r="K859" s="763">
        <f>H859-I859</f>
        <v>0</v>
      </c>
      <c r="L859" s="765">
        <v>0</v>
      </c>
      <c r="M859" s="765">
        <v>0</v>
      </c>
      <c r="O859" s="765">
        <f>L859-M859</f>
        <v>0</v>
      </c>
      <c r="P859" s="765">
        <f t="shared" si="147"/>
        <v>0</v>
      </c>
      <c r="Q859" s="765">
        <f t="shared" si="147"/>
        <v>0</v>
      </c>
      <c r="R859" s="766" t="e">
        <f>Q859/P859</f>
        <v>#DIV/0!</v>
      </c>
      <c r="S859" s="765">
        <f>P859-Q859</f>
        <v>0</v>
      </c>
      <c r="T859" s="84"/>
      <c r="X859" s="833">
        <v>200000</v>
      </c>
      <c r="Z859" s="830">
        <f>H859-X859+Y859</f>
        <v>-200000</v>
      </c>
      <c r="AA859" s="831">
        <v>450000</v>
      </c>
      <c r="AB859" s="84">
        <f t="shared" si="132"/>
        <v>-650000</v>
      </c>
      <c r="AE859" s="84">
        <f>H859-AA859</f>
        <v>-450000</v>
      </c>
    </row>
    <row r="860" spans="1:31" x14ac:dyDescent="0.25">
      <c r="A860" s="84"/>
      <c r="B860" s="84"/>
      <c r="C860" s="84"/>
      <c r="D860" s="84"/>
      <c r="E860" s="784"/>
      <c r="F860" s="785"/>
      <c r="G860" s="786" t="s">
        <v>5157</v>
      </c>
      <c r="H860" s="787"/>
      <c r="I860" s="787"/>
      <c r="J860" s="788"/>
      <c r="K860" s="787"/>
      <c r="L860" s="789"/>
      <c r="M860" s="789"/>
      <c r="N860" s="790"/>
      <c r="O860" s="789"/>
      <c r="P860" s="789"/>
      <c r="Q860" s="789"/>
      <c r="R860" s="790"/>
      <c r="S860" s="877"/>
      <c r="T860" s="84"/>
      <c r="AB860" s="84">
        <f t="shared" si="132"/>
        <v>0</v>
      </c>
    </row>
    <row r="861" spans="1:31" ht="15.75" thickBot="1" x14ac:dyDescent="0.3">
      <c r="A861" s="84"/>
      <c r="B861" s="84"/>
      <c r="C861" s="84"/>
      <c r="D861" s="84"/>
      <c r="E861" s="791"/>
      <c r="F861" s="792" t="s">
        <v>235</v>
      </c>
      <c r="G861" s="793" t="s">
        <v>236</v>
      </c>
      <c r="H861" s="794">
        <f>SUM(H856:H859)</f>
        <v>600000</v>
      </c>
      <c r="I861" s="794">
        <f>SUM(I856:I859)</f>
        <v>333216</v>
      </c>
      <c r="J861" s="795">
        <f>I861/H861</f>
        <v>0.55535999999999996</v>
      </c>
      <c r="K861" s="794">
        <f>SUM(K856:K859)</f>
        <v>266784</v>
      </c>
      <c r="L861" s="796">
        <v>0</v>
      </c>
      <c r="M861" s="796">
        <v>0</v>
      </c>
      <c r="N861" s="797"/>
      <c r="O861" s="796">
        <f>L861-M861</f>
        <v>0</v>
      </c>
      <c r="P861" s="796">
        <f>L861+H861</f>
        <v>600000</v>
      </c>
      <c r="Q861" s="796">
        <f>M861+I861</f>
        <v>333216</v>
      </c>
      <c r="R861" s="797">
        <f>Q861/P861</f>
        <v>0.55535999999999996</v>
      </c>
      <c r="S861" s="796">
        <f>P861-Q861</f>
        <v>266784</v>
      </c>
      <c r="T861" s="84"/>
      <c r="AB861" s="84">
        <f t="shared" si="132"/>
        <v>0</v>
      </c>
    </row>
    <row r="862" spans="1:31" ht="15.75" thickBot="1" x14ac:dyDescent="0.3">
      <c r="A862" s="84"/>
      <c r="B862" s="84"/>
      <c r="C862" s="84"/>
      <c r="D862" s="84"/>
      <c r="G862" s="798" t="s">
        <v>5158</v>
      </c>
      <c r="H862" s="799">
        <f>H861</f>
        <v>600000</v>
      </c>
      <c r="I862" s="799">
        <f t="shared" ref="I862:S862" si="148">I861</f>
        <v>333216</v>
      </c>
      <c r="J862" s="800">
        <f t="shared" si="148"/>
        <v>0.55535999999999996</v>
      </c>
      <c r="K862" s="799">
        <f t="shared" si="148"/>
        <v>266784</v>
      </c>
      <c r="L862" s="801">
        <f t="shared" si="148"/>
        <v>0</v>
      </c>
      <c r="M862" s="801">
        <f t="shared" si="148"/>
        <v>0</v>
      </c>
      <c r="N862" s="802">
        <f t="shared" si="148"/>
        <v>0</v>
      </c>
      <c r="O862" s="801">
        <f t="shared" si="148"/>
        <v>0</v>
      </c>
      <c r="P862" s="801">
        <f t="shared" si="148"/>
        <v>600000</v>
      </c>
      <c r="Q862" s="801">
        <f t="shared" si="148"/>
        <v>333216</v>
      </c>
      <c r="R862" s="802">
        <f t="shared" si="148"/>
        <v>0.55535999999999996</v>
      </c>
      <c r="S862" s="801">
        <f t="shared" si="148"/>
        <v>266784</v>
      </c>
      <c r="T862" s="84"/>
      <c r="AB862" s="84">
        <f t="shared" si="132"/>
        <v>0</v>
      </c>
    </row>
    <row r="863" spans="1:31" ht="28.5" collapsed="1" x14ac:dyDescent="0.25">
      <c r="A863" s="84"/>
      <c r="B863" s="84"/>
      <c r="C863" s="84"/>
      <c r="D863" s="84"/>
      <c r="E863" s="784"/>
      <c r="F863" s="785"/>
      <c r="G863" s="803" t="s">
        <v>4738</v>
      </c>
      <c r="H863" s="804"/>
      <c r="I863" s="805"/>
      <c r="J863" s="806"/>
      <c r="K863" s="805"/>
      <c r="L863" s="807"/>
      <c r="M863" s="808"/>
      <c r="N863" s="809"/>
      <c r="O863" s="808"/>
      <c r="P863" s="808"/>
      <c r="Q863" s="808"/>
      <c r="R863" s="809"/>
      <c r="S863" s="878"/>
      <c r="T863" s="84"/>
      <c r="AB863" s="84">
        <f t="shared" ref="AB863:AB1012" si="149">Z863-AA863</f>
        <v>0</v>
      </c>
    </row>
    <row r="864" spans="1:31" ht="15.75" thickBot="1" x14ac:dyDescent="0.3">
      <c r="A864" s="84"/>
      <c r="B864" s="84"/>
      <c r="C864" s="84"/>
      <c r="D864" s="84"/>
      <c r="E864" s="791"/>
      <c r="F864" s="792" t="s">
        <v>235</v>
      </c>
      <c r="G864" s="793" t="s">
        <v>236</v>
      </c>
      <c r="H864" s="794">
        <f>H839+H861</f>
        <v>33172296</v>
      </c>
      <c r="I864" s="794">
        <f>I839+I861</f>
        <v>26920337.899999999</v>
      </c>
      <c r="J864" s="795">
        <f>J839</f>
        <v>0.81624954838922004</v>
      </c>
      <c r="K864" s="794">
        <f>K839+K861</f>
        <v>6251958.1000000015</v>
      </c>
      <c r="L864" s="796">
        <f>L839+L861</f>
        <v>0</v>
      </c>
      <c r="M864" s="796">
        <f>M839+M861</f>
        <v>0</v>
      </c>
      <c r="N864" s="797">
        <f>N839</f>
        <v>0</v>
      </c>
      <c r="O864" s="796">
        <f>O839+O861</f>
        <v>0</v>
      </c>
      <c r="P864" s="796">
        <f>P839+P861</f>
        <v>33172296</v>
      </c>
      <c r="Q864" s="796">
        <f>Q839+Q861</f>
        <v>26920337.899999999</v>
      </c>
      <c r="R864" s="797">
        <f>R839</f>
        <v>0.81624954838922004</v>
      </c>
      <c r="S864" s="796">
        <f>S839+S861</f>
        <v>6251958.1000000015</v>
      </c>
      <c r="T864" s="84"/>
      <c r="AB864" s="84">
        <f t="shared" si="149"/>
        <v>0</v>
      </c>
    </row>
    <row r="865" spans="1:28" hidden="1" x14ac:dyDescent="0.25">
      <c r="A865" s="84"/>
      <c r="B865" s="84"/>
      <c r="C865" s="84"/>
      <c r="D865" s="84"/>
      <c r="F865" s="792" t="s">
        <v>237</v>
      </c>
      <c r="G865" s="793" t="s">
        <v>238</v>
      </c>
      <c r="J865" s="764" t="e">
        <f t="shared" ref="J865:J879" si="150">I865/H865</f>
        <v>#DIV/0!</v>
      </c>
      <c r="R865" s="766" t="e">
        <f t="shared" ref="R865:R879" si="151">Q865/P865</f>
        <v>#DIV/0!</v>
      </c>
      <c r="S865" s="796" t="e">
        <f t="shared" ref="S865:S879" si="152">SUM(H865:L865)</f>
        <v>#DIV/0!</v>
      </c>
      <c r="T865" s="84"/>
      <c r="AB865" s="84">
        <f t="shared" si="149"/>
        <v>0</v>
      </c>
    </row>
    <row r="866" spans="1:28" hidden="1" x14ac:dyDescent="0.25">
      <c r="A866" s="84"/>
      <c r="B866" s="84"/>
      <c r="C866" s="84"/>
      <c r="D866" s="84"/>
      <c r="F866" s="792" t="s">
        <v>239</v>
      </c>
      <c r="G866" s="793" t="s">
        <v>240</v>
      </c>
      <c r="J866" s="764" t="e">
        <f t="shared" si="150"/>
        <v>#DIV/0!</v>
      </c>
      <c r="R866" s="766" t="e">
        <f t="shared" si="151"/>
        <v>#DIV/0!</v>
      </c>
      <c r="S866" s="796" t="e">
        <f t="shared" si="152"/>
        <v>#DIV/0!</v>
      </c>
      <c r="T866" s="84"/>
      <c r="AB866" s="84">
        <f t="shared" si="149"/>
        <v>0</v>
      </c>
    </row>
    <row r="867" spans="1:28" hidden="1" x14ac:dyDescent="0.25">
      <c r="A867" s="84"/>
      <c r="B867" s="84"/>
      <c r="C867" s="84"/>
      <c r="D867" s="84"/>
      <c r="F867" s="792" t="s">
        <v>241</v>
      </c>
      <c r="G867" s="793" t="s">
        <v>242</v>
      </c>
      <c r="J867" s="764" t="e">
        <f t="shared" si="150"/>
        <v>#DIV/0!</v>
      </c>
      <c r="R867" s="766" t="e">
        <f t="shared" si="151"/>
        <v>#DIV/0!</v>
      </c>
      <c r="S867" s="796" t="e">
        <f t="shared" si="152"/>
        <v>#DIV/0!</v>
      </c>
      <c r="T867" s="84"/>
      <c r="AB867" s="84">
        <f t="shared" si="149"/>
        <v>0</v>
      </c>
    </row>
    <row r="868" spans="1:28" hidden="1" x14ac:dyDescent="0.25">
      <c r="A868" s="84"/>
      <c r="B868" s="84"/>
      <c r="C868" s="84"/>
      <c r="D868" s="84"/>
      <c r="F868" s="792" t="s">
        <v>243</v>
      </c>
      <c r="G868" s="793" t="s">
        <v>244</v>
      </c>
      <c r="J868" s="764" t="e">
        <f t="shared" si="150"/>
        <v>#DIV/0!</v>
      </c>
      <c r="R868" s="766" t="e">
        <f t="shared" si="151"/>
        <v>#DIV/0!</v>
      </c>
      <c r="S868" s="796" t="e">
        <f t="shared" si="152"/>
        <v>#DIV/0!</v>
      </c>
      <c r="T868" s="84"/>
      <c r="AB868" s="84">
        <f t="shared" si="149"/>
        <v>0</v>
      </c>
    </row>
    <row r="869" spans="1:28" hidden="1" x14ac:dyDescent="0.25">
      <c r="A869" s="84"/>
      <c r="B869" s="84"/>
      <c r="C869" s="84"/>
      <c r="D869" s="84"/>
      <c r="F869" s="792" t="s">
        <v>245</v>
      </c>
      <c r="G869" s="793" t="s">
        <v>246</v>
      </c>
      <c r="J869" s="764" t="e">
        <f t="shared" si="150"/>
        <v>#DIV/0!</v>
      </c>
      <c r="R869" s="766" t="e">
        <f t="shared" si="151"/>
        <v>#DIV/0!</v>
      </c>
      <c r="S869" s="796" t="e">
        <f t="shared" si="152"/>
        <v>#DIV/0!</v>
      </c>
      <c r="T869" s="84"/>
      <c r="AB869" s="84">
        <f t="shared" si="149"/>
        <v>0</v>
      </c>
    </row>
    <row r="870" spans="1:28" hidden="1" x14ac:dyDescent="0.25">
      <c r="A870" s="84"/>
      <c r="B870" s="84"/>
      <c r="C870" s="84"/>
      <c r="D870" s="84"/>
      <c r="F870" s="792" t="s">
        <v>247</v>
      </c>
      <c r="G870" s="793" t="s">
        <v>4745</v>
      </c>
      <c r="J870" s="764" t="e">
        <f t="shared" si="150"/>
        <v>#DIV/0!</v>
      </c>
      <c r="R870" s="766" t="e">
        <f t="shared" si="151"/>
        <v>#DIV/0!</v>
      </c>
      <c r="S870" s="796" t="e">
        <f t="shared" si="152"/>
        <v>#DIV/0!</v>
      </c>
      <c r="T870" s="84"/>
      <c r="AB870" s="84">
        <f t="shared" si="149"/>
        <v>0</v>
      </c>
    </row>
    <row r="871" spans="1:28" ht="30" hidden="1" x14ac:dyDescent="0.25">
      <c r="A871" s="84"/>
      <c r="B871" s="84"/>
      <c r="C871" s="84"/>
      <c r="D871" s="84"/>
      <c r="F871" s="792" t="s">
        <v>248</v>
      </c>
      <c r="G871" s="793" t="s">
        <v>4744</v>
      </c>
      <c r="J871" s="764" t="e">
        <f t="shared" si="150"/>
        <v>#DIV/0!</v>
      </c>
      <c r="R871" s="766" t="e">
        <f t="shared" si="151"/>
        <v>#DIV/0!</v>
      </c>
      <c r="S871" s="796" t="e">
        <f t="shared" si="152"/>
        <v>#DIV/0!</v>
      </c>
      <c r="T871" s="84"/>
      <c r="AB871" s="84">
        <f t="shared" si="149"/>
        <v>0</v>
      </c>
    </row>
    <row r="872" spans="1:28" hidden="1" x14ac:dyDescent="0.25">
      <c r="A872" s="84"/>
      <c r="B872" s="84"/>
      <c r="C872" s="84"/>
      <c r="D872" s="84"/>
      <c r="F872" s="792" t="s">
        <v>249</v>
      </c>
      <c r="G872" s="793" t="s">
        <v>58</v>
      </c>
      <c r="J872" s="764" t="e">
        <f t="shared" si="150"/>
        <v>#DIV/0!</v>
      </c>
      <c r="R872" s="766" t="e">
        <f t="shared" si="151"/>
        <v>#DIV/0!</v>
      </c>
      <c r="S872" s="796" t="e">
        <f t="shared" si="152"/>
        <v>#DIV/0!</v>
      </c>
      <c r="T872" s="84"/>
      <c r="AB872" s="84">
        <f t="shared" si="149"/>
        <v>0</v>
      </c>
    </row>
    <row r="873" spans="1:28" ht="15.75" hidden="1" thickBot="1" x14ac:dyDescent="0.3">
      <c r="F873" s="792" t="s">
        <v>250</v>
      </c>
      <c r="G873" s="793" t="s">
        <v>251</v>
      </c>
      <c r="H873" s="763">
        <v>0</v>
      </c>
      <c r="I873" s="763">
        <v>0</v>
      </c>
      <c r="K873" s="763">
        <v>0</v>
      </c>
      <c r="L873" s="765">
        <f>L848</f>
        <v>0</v>
      </c>
      <c r="M873" s="765">
        <f t="shared" ref="M873:S873" si="153">M848</f>
        <v>290000</v>
      </c>
      <c r="N873" s="766" t="e">
        <f>M873/L873</f>
        <v>#DIV/0!</v>
      </c>
      <c r="O873" s="765">
        <f t="shared" si="153"/>
        <v>-290000</v>
      </c>
      <c r="P873" s="765">
        <f t="shared" si="153"/>
        <v>0</v>
      </c>
      <c r="Q873" s="765">
        <f t="shared" si="153"/>
        <v>290000</v>
      </c>
      <c r="R873" s="766" t="e">
        <f t="shared" si="153"/>
        <v>#DIV/0!</v>
      </c>
      <c r="S873" s="796">
        <f t="shared" si="153"/>
        <v>-290000</v>
      </c>
      <c r="AB873" s="84">
        <f t="shared" si="149"/>
        <v>0</v>
      </c>
    </row>
    <row r="874" spans="1:28" ht="15.75" hidden="1" thickBot="1" x14ac:dyDescent="0.3">
      <c r="F874" s="792" t="s">
        <v>252</v>
      </c>
      <c r="G874" s="793" t="s">
        <v>253</v>
      </c>
      <c r="J874" s="764" t="e">
        <f t="shared" si="150"/>
        <v>#DIV/0!</v>
      </c>
      <c r="R874" s="766" t="e">
        <f t="shared" si="151"/>
        <v>#DIV/0!</v>
      </c>
      <c r="S874" s="796" t="e">
        <f t="shared" si="152"/>
        <v>#DIV/0!</v>
      </c>
      <c r="AB874" s="84">
        <f t="shared" si="149"/>
        <v>0</v>
      </c>
    </row>
    <row r="875" spans="1:28" ht="30.75" hidden="1" thickBot="1" x14ac:dyDescent="0.3">
      <c r="F875" s="792" t="s">
        <v>254</v>
      </c>
      <c r="G875" s="793" t="s">
        <v>255</v>
      </c>
      <c r="J875" s="764" t="e">
        <f t="shared" si="150"/>
        <v>#DIV/0!</v>
      </c>
      <c r="R875" s="766" t="e">
        <f t="shared" si="151"/>
        <v>#DIV/0!</v>
      </c>
      <c r="S875" s="796" t="e">
        <f t="shared" si="152"/>
        <v>#DIV/0!</v>
      </c>
      <c r="AB875" s="84">
        <f t="shared" si="149"/>
        <v>0</v>
      </c>
    </row>
    <row r="876" spans="1:28" ht="15.75" hidden="1" thickBot="1" x14ac:dyDescent="0.3">
      <c r="F876" s="792" t="s">
        <v>256</v>
      </c>
      <c r="G876" s="793" t="s">
        <v>257</v>
      </c>
      <c r="J876" s="764" t="e">
        <f t="shared" si="150"/>
        <v>#DIV/0!</v>
      </c>
      <c r="R876" s="766" t="e">
        <f t="shared" si="151"/>
        <v>#DIV/0!</v>
      </c>
      <c r="S876" s="796" t="e">
        <f t="shared" si="152"/>
        <v>#DIV/0!</v>
      </c>
      <c r="AB876" s="84">
        <f t="shared" si="149"/>
        <v>0</v>
      </c>
    </row>
    <row r="877" spans="1:28" ht="30.75" hidden="1" thickBot="1" x14ac:dyDescent="0.3">
      <c r="F877" s="792" t="s">
        <v>258</v>
      </c>
      <c r="G877" s="793" t="s">
        <v>259</v>
      </c>
      <c r="J877" s="764" t="e">
        <f t="shared" si="150"/>
        <v>#DIV/0!</v>
      </c>
      <c r="R877" s="766" t="e">
        <f t="shared" si="151"/>
        <v>#DIV/0!</v>
      </c>
      <c r="S877" s="796" t="e">
        <f t="shared" si="152"/>
        <v>#DIV/0!</v>
      </c>
      <c r="AB877" s="84">
        <f t="shared" si="149"/>
        <v>0</v>
      </c>
    </row>
    <row r="878" spans="1:28" ht="30.75" hidden="1" thickBot="1" x14ac:dyDescent="0.3">
      <c r="F878" s="792" t="s">
        <v>260</v>
      </c>
      <c r="G878" s="793" t="s">
        <v>261</v>
      </c>
      <c r="J878" s="764" t="e">
        <f t="shared" si="150"/>
        <v>#DIV/0!</v>
      </c>
      <c r="R878" s="766" t="e">
        <f t="shared" si="151"/>
        <v>#DIV/0!</v>
      </c>
      <c r="S878" s="796" t="e">
        <f t="shared" si="152"/>
        <v>#DIV/0!</v>
      </c>
      <c r="AB878" s="84">
        <f t="shared" si="149"/>
        <v>0</v>
      </c>
    </row>
    <row r="879" spans="1:28" ht="15.75" hidden="1" thickBot="1" x14ac:dyDescent="0.3">
      <c r="F879" s="792" t="s">
        <v>262</v>
      </c>
      <c r="G879" s="793" t="s">
        <v>263</v>
      </c>
      <c r="H879" s="794"/>
      <c r="I879" s="794"/>
      <c r="J879" s="795" t="e">
        <f t="shared" si="150"/>
        <v>#DIV/0!</v>
      </c>
      <c r="K879" s="794"/>
      <c r="L879" s="796"/>
      <c r="M879" s="796"/>
      <c r="N879" s="797"/>
      <c r="O879" s="796"/>
      <c r="P879" s="796"/>
      <c r="Q879" s="796"/>
      <c r="R879" s="797" t="e">
        <f t="shared" si="151"/>
        <v>#DIV/0!</v>
      </c>
      <c r="S879" s="796" t="e">
        <f t="shared" si="152"/>
        <v>#DIV/0!</v>
      </c>
      <c r="AB879" s="84">
        <f t="shared" si="149"/>
        <v>0</v>
      </c>
    </row>
    <row r="880" spans="1:28" ht="15.75" collapsed="1" thickBot="1" x14ac:dyDescent="0.3">
      <c r="G880" s="798" t="s">
        <v>4739</v>
      </c>
      <c r="H880" s="799">
        <f>H864</f>
        <v>33172296</v>
      </c>
      <c r="I880" s="799">
        <f>I864</f>
        <v>26920337.899999999</v>
      </c>
      <c r="J880" s="800">
        <f>J864</f>
        <v>0.81624954838922004</v>
      </c>
      <c r="K880" s="799">
        <f>K864</f>
        <v>6251958.1000000015</v>
      </c>
      <c r="L880" s="801">
        <f>SUM(L864:L873)</f>
        <v>0</v>
      </c>
      <c r="M880" s="801">
        <f>SUM(M864:M873)</f>
        <v>290000</v>
      </c>
      <c r="N880" s="802" t="e">
        <f>M880/L880</f>
        <v>#DIV/0!</v>
      </c>
      <c r="O880" s="801">
        <f>O864</f>
        <v>0</v>
      </c>
      <c r="P880" s="801">
        <f>SUM(P864:P873)</f>
        <v>33172296</v>
      </c>
      <c r="Q880" s="801">
        <f>SUM(Q864:Q873)</f>
        <v>27210337.899999999</v>
      </c>
      <c r="R880" s="802">
        <f>Q880/P880</f>
        <v>0.82027297417097689</v>
      </c>
      <c r="S880" s="801">
        <f>P880-Q880</f>
        <v>5961958.1000000015</v>
      </c>
      <c r="AB880" s="84">
        <f t="shared" si="149"/>
        <v>0</v>
      </c>
    </row>
    <row r="881" spans="1:31" x14ac:dyDescent="0.25">
      <c r="G881" s="811"/>
      <c r="H881" s="812"/>
      <c r="I881" s="812"/>
      <c r="J881" s="813"/>
      <c r="K881" s="812"/>
      <c r="L881" s="814"/>
      <c r="M881" s="814"/>
      <c r="N881" s="815"/>
      <c r="O881" s="814"/>
      <c r="P881" s="814"/>
      <c r="Q881" s="814"/>
      <c r="R881" s="815"/>
      <c r="S881" s="814"/>
      <c r="AB881" s="84">
        <f t="shared" si="149"/>
        <v>0</v>
      </c>
    </row>
    <row r="882" spans="1:31" s="972" customFormat="1" x14ac:dyDescent="0.25">
      <c r="A882" s="767"/>
      <c r="B882" s="768"/>
      <c r="C882" s="769" t="s">
        <v>4371</v>
      </c>
      <c r="D882" s="770"/>
      <c r="E882" s="771"/>
      <c r="F882" s="772"/>
      <c r="G882" s="773" t="s">
        <v>5493</v>
      </c>
      <c r="H882" s="774"/>
      <c r="I882" s="774"/>
      <c r="J882" s="775"/>
      <c r="K882" s="774"/>
      <c r="L882" s="776"/>
      <c r="M882" s="776"/>
      <c r="N882" s="777"/>
      <c r="O882" s="776"/>
      <c r="P882" s="776"/>
      <c r="Q882" s="776"/>
      <c r="R882" s="777"/>
      <c r="S882" s="970"/>
      <c r="T882" s="971"/>
      <c r="V882" s="973"/>
      <c r="W882" s="973"/>
      <c r="X882" s="833"/>
      <c r="Y882" s="834"/>
      <c r="Z882" s="830"/>
      <c r="AA882" s="831"/>
      <c r="AB882" s="972">
        <f t="shared" si="149"/>
        <v>0</v>
      </c>
    </row>
    <row r="883" spans="1:31" x14ac:dyDescent="0.25">
      <c r="C883" s="761"/>
      <c r="D883" s="778">
        <v>451</v>
      </c>
      <c r="E883" s="779"/>
      <c r="F883" s="778"/>
      <c r="G883" s="780" t="s">
        <v>154</v>
      </c>
      <c r="AB883" s="84">
        <f t="shared" si="149"/>
        <v>0</v>
      </c>
    </row>
    <row r="884" spans="1:31" ht="15.75" thickBot="1" x14ac:dyDescent="0.3">
      <c r="A884" s="84"/>
      <c r="B884" s="84"/>
      <c r="C884" s="84"/>
      <c r="D884" s="84"/>
      <c r="E884" s="760" t="s">
        <v>5225</v>
      </c>
      <c r="F884" s="782">
        <v>511</v>
      </c>
      <c r="G884" s="816" t="s">
        <v>4141</v>
      </c>
      <c r="H884" s="763">
        <v>633808</v>
      </c>
      <c r="I884" s="763">
        <v>0</v>
      </c>
      <c r="K884" s="763">
        <f>H884-I884</f>
        <v>633808</v>
      </c>
      <c r="L884" s="765">
        <v>0</v>
      </c>
      <c r="M884" s="765">
        <v>0</v>
      </c>
      <c r="O884" s="765">
        <f>L884-M884</f>
        <v>0</v>
      </c>
      <c r="P884" s="765">
        <f>L884+H884</f>
        <v>633808</v>
      </c>
      <c r="Q884" s="765">
        <f>M884+I884</f>
        <v>0</v>
      </c>
      <c r="R884" s="766">
        <f>Q884/P884</f>
        <v>0</v>
      </c>
      <c r="S884" s="765">
        <f>P884-Q884</f>
        <v>633808</v>
      </c>
      <c r="T884" s="84"/>
      <c r="Z884" s="830">
        <f>H884-X884+Y884</f>
        <v>633808</v>
      </c>
      <c r="AA884" s="831">
        <v>0</v>
      </c>
      <c r="AB884" s="84">
        <f t="shared" si="149"/>
        <v>633808</v>
      </c>
      <c r="AE884" s="84">
        <f>H884-AA884</f>
        <v>633808</v>
      </c>
    </row>
    <row r="885" spans="1:31" x14ac:dyDescent="0.25">
      <c r="A885" s="84"/>
      <c r="B885" s="84"/>
      <c r="C885" s="84"/>
      <c r="D885" s="84"/>
      <c r="E885" s="784"/>
      <c r="F885" s="785"/>
      <c r="G885" s="786" t="s">
        <v>5116</v>
      </c>
      <c r="H885" s="787"/>
      <c r="I885" s="787"/>
      <c r="J885" s="788"/>
      <c r="K885" s="787"/>
      <c r="L885" s="789"/>
      <c r="M885" s="789"/>
      <c r="N885" s="790"/>
      <c r="O885" s="789"/>
      <c r="P885" s="789"/>
      <c r="Q885" s="789"/>
      <c r="R885" s="790"/>
      <c r="S885" s="877"/>
      <c r="T885" s="84"/>
      <c r="AB885" s="84">
        <f t="shared" si="149"/>
        <v>0</v>
      </c>
    </row>
    <row r="886" spans="1:31" ht="15.75" thickBot="1" x14ac:dyDescent="0.3">
      <c r="A886" s="84"/>
      <c r="B886" s="84"/>
      <c r="C886" s="84"/>
      <c r="D886" s="84"/>
      <c r="E886" s="784"/>
      <c r="F886" s="792" t="s">
        <v>235</v>
      </c>
      <c r="G886" s="793" t="s">
        <v>236</v>
      </c>
      <c r="H886" s="826">
        <f>H884</f>
        <v>633808</v>
      </c>
      <c r="I886" s="822"/>
      <c r="J886" s="823"/>
      <c r="K886" s="822"/>
      <c r="L886" s="824">
        <f t="shared" ref="L886:P886" si="154">L884</f>
        <v>0</v>
      </c>
      <c r="M886" s="824">
        <f t="shared" si="154"/>
        <v>0</v>
      </c>
      <c r="N886" s="825">
        <f t="shared" si="154"/>
        <v>0</v>
      </c>
      <c r="O886" s="824">
        <f t="shared" si="154"/>
        <v>0</v>
      </c>
      <c r="P886" s="824">
        <f t="shared" si="154"/>
        <v>633808</v>
      </c>
      <c r="Q886" s="824"/>
      <c r="R886" s="825"/>
      <c r="S886" s="880"/>
      <c r="T886" s="84"/>
    </row>
    <row r="887" spans="1:31" hidden="1" x14ac:dyDescent="0.25">
      <c r="A887" s="84"/>
      <c r="B887" s="84"/>
      <c r="C887" s="84"/>
      <c r="D887" s="84"/>
      <c r="E887" s="791"/>
      <c r="F887" s="817" t="s">
        <v>247</v>
      </c>
      <c r="G887" s="793" t="s">
        <v>4745</v>
      </c>
      <c r="H887" s="794">
        <v>0</v>
      </c>
      <c r="I887" s="794">
        <f>SUM(I884:I884)</f>
        <v>0</v>
      </c>
      <c r="J887" s="795"/>
      <c r="K887" s="794">
        <f>SUM(K884:K884)</f>
        <v>633808</v>
      </c>
      <c r="L887" s="796">
        <v>0</v>
      </c>
      <c r="M887" s="796">
        <v>0</v>
      </c>
      <c r="N887" s="797"/>
      <c r="O887" s="796">
        <v>0</v>
      </c>
      <c r="P887" s="796">
        <f t="shared" ref="P887:Q889" si="155">L887+H887</f>
        <v>0</v>
      </c>
      <c r="Q887" s="796">
        <f t="shared" si="155"/>
        <v>0</v>
      </c>
      <c r="R887" s="797"/>
      <c r="S887" s="796">
        <f>P887-Q887</f>
        <v>0</v>
      </c>
      <c r="T887" s="84"/>
      <c r="AB887" s="84">
        <f t="shared" si="149"/>
        <v>0</v>
      </c>
    </row>
    <row r="888" spans="1:31" ht="15.75" hidden="1" thickBot="1" x14ac:dyDescent="0.3">
      <c r="A888" s="84"/>
      <c r="B888" s="84"/>
      <c r="C888" s="84"/>
      <c r="D888" s="84"/>
      <c r="E888" s="791"/>
      <c r="F888" s="792">
        <v>10</v>
      </c>
      <c r="G888" s="793" t="s">
        <v>13</v>
      </c>
      <c r="H888" s="794">
        <v>0</v>
      </c>
      <c r="I888" s="794">
        <v>0</v>
      </c>
      <c r="J888" s="795"/>
      <c r="K888" s="794">
        <v>0</v>
      </c>
      <c r="L888" s="796">
        <f>SUM(L884)</f>
        <v>0</v>
      </c>
      <c r="M888" s="796">
        <v>0</v>
      </c>
      <c r="N888" s="797"/>
      <c r="O888" s="796">
        <f>L888-M888</f>
        <v>0</v>
      </c>
      <c r="P888" s="796">
        <f t="shared" si="155"/>
        <v>0</v>
      </c>
      <c r="Q888" s="796">
        <f t="shared" si="155"/>
        <v>0</v>
      </c>
      <c r="R888" s="797" t="e">
        <f>Q888/P888</f>
        <v>#DIV/0!</v>
      </c>
      <c r="S888" s="796">
        <f>P888-Q888</f>
        <v>0</v>
      </c>
      <c r="T888" s="84"/>
      <c r="AB888" s="84">
        <f t="shared" si="149"/>
        <v>0</v>
      </c>
    </row>
    <row r="889" spans="1:31" ht="15.75" thickBot="1" x14ac:dyDescent="0.3">
      <c r="A889" s="84"/>
      <c r="B889" s="84"/>
      <c r="C889" s="84"/>
      <c r="D889" s="84"/>
      <c r="G889" s="798" t="s">
        <v>5117</v>
      </c>
      <c r="H889" s="799">
        <f>H886</f>
        <v>633808</v>
      </c>
      <c r="I889" s="799">
        <f t="shared" ref="I889:K889" si="156">SUM(I887:I888)</f>
        <v>0</v>
      </c>
      <c r="J889" s="800"/>
      <c r="K889" s="799">
        <f t="shared" si="156"/>
        <v>633808</v>
      </c>
      <c r="L889" s="801">
        <f t="shared" ref="L889:P889" si="157">L886</f>
        <v>0</v>
      </c>
      <c r="M889" s="801">
        <f t="shared" si="157"/>
        <v>0</v>
      </c>
      <c r="N889" s="802">
        <f t="shared" si="157"/>
        <v>0</v>
      </c>
      <c r="O889" s="801">
        <f t="shared" si="157"/>
        <v>0</v>
      </c>
      <c r="P889" s="801">
        <f t="shared" si="157"/>
        <v>633808</v>
      </c>
      <c r="Q889" s="801">
        <f t="shared" si="155"/>
        <v>0</v>
      </c>
      <c r="R889" s="802">
        <f>Q889/P889</f>
        <v>0</v>
      </c>
      <c r="S889" s="801">
        <f>P889-Q889</f>
        <v>633808</v>
      </c>
      <c r="T889" s="84"/>
      <c r="AB889" s="84">
        <f t="shared" si="149"/>
        <v>0</v>
      </c>
    </row>
    <row r="890" spans="1:31" collapsed="1" x14ac:dyDescent="0.25">
      <c r="A890" s="84"/>
      <c r="B890" s="84"/>
      <c r="C890" s="84"/>
      <c r="D890" s="84"/>
      <c r="E890" s="784"/>
      <c r="F890" s="785"/>
      <c r="G890" s="803" t="s">
        <v>4959</v>
      </c>
      <c r="H890" s="804"/>
      <c r="I890" s="805"/>
      <c r="J890" s="806"/>
      <c r="K890" s="805"/>
      <c r="L890" s="807"/>
      <c r="M890" s="808"/>
      <c r="N890" s="809"/>
      <c r="O890" s="808"/>
      <c r="P890" s="808"/>
      <c r="Q890" s="808"/>
      <c r="R890" s="809"/>
      <c r="S890" s="878"/>
      <c r="T890" s="84"/>
      <c r="AB890" s="84">
        <f t="shared" si="149"/>
        <v>0</v>
      </c>
    </row>
    <row r="891" spans="1:31" ht="15.75" thickBot="1" x14ac:dyDescent="0.3">
      <c r="A891" s="84"/>
      <c r="B891" s="84"/>
      <c r="C891" s="84"/>
      <c r="D891" s="84"/>
      <c r="E891" s="784"/>
      <c r="F891" s="792" t="s">
        <v>235</v>
      </c>
      <c r="G891" s="793" t="s">
        <v>236</v>
      </c>
      <c r="H891" s="826">
        <f>H886</f>
        <v>633808</v>
      </c>
      <c r="I891" s="822"/>
      <c r="J891" s="823"/>
      <c r="K891" s="822"/>
      <c r="L891" s="824">
        <f t="shared" ref="L891:P891" si="158">L886</f>
        <v>0</v>
      </c>
      <c r="M891" s="824">
        <f t="shared" si="158"/>
        <v>0</v>
      </c>
      <c r="N891" s="825">
        <f t="shared" si="158"/>
        <v>0</v>
      </c>
      <c r="O891" s="824">
        <f t="shared" si="158"/>
        <v>0</v>
      </c>
      <c r="P891" s="824">
        <f t="shared" si="158"/>
        <v>633808</v>
      </c>
      <c r="Q891" s="824"/>
      <c r="R891" s="825"/>
      <c r="S891" s="880"/>
      <c r="T891" s="84"/>
    </row>
    <row r="892" spans="1:31" hidden="1" x14ac:dyDescent="0.25">
      <c r="A892" s="84"/>
      <c r="B892" s="84"/>
      <c r="C892" s="84"/>
      <c r="D892" s="84"/>
      <c r="E892" s="791"/>
      <c r="F892" s="817" t="s">
        <v>247</v>
      </c>
      <c r="G892" s="793" t="s">
        <v>4745</v>
      </c>
      <c r="H892" s="794">
        <f>H887</f>
        <v>0</v>
      </c>
      <c r="I892" s="794">
        <f t="shared" ref="I892:S892" si="159">I887</f>
        <v>0</v>
      </c>
      <c r="J892" s="795"/>
      <c r="K892" s="794">
        <f t="shared" si="159"/>
        <v>633808</v>
      </c>
      <c r="L892" s="796">
        <f t="shared" si="159"/>
        <v>0</v>
      </c>
      <c r="M892" s="796">
        <f t="shared" si="159"/>
        <v>0</v>
      </c>
      <c r="N892" s="797"/>
      <c r="O892" s="796">
        <f t="shared" si="159"/>
        <v>0</v>
      </c>
      <c r="P892" s="796">
        <f t="shared" si="159"/>
        <v>0</v>
      </c>
      <c r="Q892" s="796">
        <f t="shared" si="159"/>
        <v>0</v>
      </c>
      <c r="R892" s="797"/>
      <c r="S892" s="796">
        <f t="shared" si="159"/>
        <v>0</v>
      </c>
      <c r="T892" s="84"/>
      <c r="AB892" s="84">
        <f t="shared" si="149"/>
        <v>0</v>
      </c>
    </row>
    <row r="893" spans="1:31" ht="15.75" hidden="1" thickBot="1" x14ac:dyDescent="0.3">
      <c r="A893" s="84"/>
      <c r="B893" s="84"/>
      <c r="C893" s="84"/>
      <c r="D893" s="84"/>
      <c r="E893" s="791"/>
      <c r="F893" s="792">
        <v>10</v>
      </c>
      <c r="G893" s="793" t="s">
        <v>13</v>
      </c>
      <c r="H893" s="794">
        <f>H888</f>
        <v>0</v>
      </c>
      <c r="I893" s="794">
        <f t="shared" ref="I893:S893" si="160">I888</f>
        <v>0</v>
      </c>
      <c r="J893" s="795"/>
      <c r="K893" s="794">
        <f t="shared" si="160"/>
        <v>0</v>
      </c>
      <c r="L893" s="796">
        <f t="shared" si="160"/>
        <v>0</v>
      </c>
      <c r="M893" s="796">
        <f t="shared" si="160"/>
        <v>0</v>
      </c>
      <c r="N893" s="818"/>
      <c r="O893" s="796">
        <f t="shared" si="160"/>
        <v>0</v>
      </c>
      <c r="P893" s="796">
        <f t="shared" si="160"/>
        <v>0</v>
      </c>
      <c r="Q893" s="796">
        <f t="shared" si="160"/>
        <v>0</v>
      </c>
      <c r="R893" s="797" t="e">
        <f>Q893/P893</f>
        <v>#DIV/0!</v>
      </c>
      <c r="S893" s="796">
        <f t="shared" si="160"/>
        <v>0</v>
      </c>
      <c r="T893" s="84"/>
      <c r="AB893" s="84">
        <f t="shared" si="149"/>
        <v>0</v>
      </c>
    </row>
    <row r="894" spans="1:31" ht="15.75" collapsed="1" thickBot="1" x14ac:dyDescent="0.3">
      <c r="G894" s="798" t="s">
        <v>4958</v>
      </c>
      <c r="H894" s="799">
        <f>H889</f>
        <v>633808</v>
      </c>
      <c r="I894" s="799">
        <f>SUM(I892:I893)</f>
        <v>0</v>
      </c>
      <c r="J894" s="800"/>
      <c r="K894" s="799">
        <f>SUM(K892:K893)</f>
        <v>633808</v>
      </c>
      <c r="L894" s="801">
        <f t="shared" ref="L894:P894" si="161">L889</f>
        <v>0</v>
      </c>
      <c r="M894" s="801">
        <f t="shared" si="161"/>
        <v>0</v>
      </c>
      <c r="N894" s="819">
        <f t="shared" si="161"/>
        <v>0</v>
      </c>
      <c r="O894" s="801">
        <f t="shared" si="161"/>
        <v>0</v>
      </c>
      <c r="P894" s="801">
        <f t="shared" si="161"/>
        <v>633808</v>
      </c>
      <c r="Q894" s="801">
        <f>M894+I894</f>
        <v>0</v>
      </c>
      <c r="R894" s="802">
        <f>Q894/P894</f>
        <v>0</v>
      </c>
      <c r="S894" s="801">
        <f>P894-Q894</f>
        <v>633808</v>
      </c>
      <c r="AB894" s="84">
        <f t="shared" si="149"/>
        <v>0</v>
      </c>
    </row>
    <row r="895" spans="1:31" x14ac:dyDescent="0.25">
      <c r="G895" s="811"/>
      <c r="H895" s="812"/>
      <c r="I895" s="812"/>
      <c r="J895" s="813"/>
      <c r="K895" s="812"/>
      <c r="L895" s="814"/>
      <c r="M895" s="814"/>
      <c r="N895" s="796"/>
      <c r="O895" s="814"/>
      <c r="P895" s="814"/>
      <c r="Q895" s="814"/>
      <c r="R895" s="815"/>
      <c r="S895" s="814"/>
      <c r="AB895" s="84">
        <f t="shared" si="149"/>
        <v>0</v>
      </c>
    </row>
    <row r="896" spans="1:31" s="972" customFormat="1" ht="29.25" x14ac:dyDescent="0.25">
      <c r="A896" s="767"/>
      <c r="B896" s="768"/>
      <c r="C896" s="820" t="s">
        <v>4372</v>
      </c>
      <c r="D896" s="770"/>
      <c r="E896" s="771"/>
      <c r="F896" s="772"/>
      <c r="G896" s="773" t="s">
        <v>5135</v>
      </c>
      <c r="H896" s="774"/>
      <c r="I896" s="774"/>
      <c r="J896" s="775"/>
      <c r="K896" s="774"/>
      <c r="L896" s="776"/>
      <c r="M896" s="776"/>
      <c r="N896" s="777"/>
      <c r="O896" s="776"/>
      <c r="P896" s="776"/>
      <c r="Q896" s="776"/>
      <c r="R896" s="777"/>
      <c r="S896" s="970"/>
      <c r="T896" s="971"/>
      <c r="V896" s="973"/>
      <c r="W896" s="973"/>
      <c r="X896" s="833"/>
      <c r="Y896" s="834"/>
      <c r="Z896" s="830"/>
      <c r="AA896" s="831"/>
      <c r="AB896" s="972">
        <f t="shared" si="149"/>
        <v>0</v>
      </c>
    </row>
    <row r="897" spans="1:31" x14ac:dyDescent="0.25">
      <c r="C897" s="761"/>
      <c r="D897" s="778">
        <v>451</v>
      </c>
      <c r="E897" s="779"/>
      <c r="F897" s="778"/>
      <c r="G897" s="780" t="s">
        <v>154</v>
      </c>
      <c r="AB897" s="84">
        <f t="shared" si="149"/>
        <v>0</v>
      </c>
    </row>
    <row r="898" spans="1:31" ht="15.75" thickBot="1" x14ac:dyDescent="0.3">
      <c r="A898" s="84"/>
      <c r="B898" s="84"/>
      <c r="C898" s="84"/>
      <c r="D898" s="84"/>
      <c r="E898" s="760" t="s">
        <v>5463</v>
      </c>
      <c r="F898" s="782">
        <v>511</v>
      </c>
      <c r="G898" s="783" t="s">
        <v>4141</v>
      </c>
      <c r="H898" s="763">
        <v>179800</v>
      </c>
      <c r="I898" s="763">
        <v>0</v>
      </c>
      <c r="K898" s="763">
        <f>H898-I898</f>
        <v>179800</v>
      </c>
      <c r="L898" s="765">
        <v>0</v>
      </c>
      <c r="M898" s="765">
        <v>0</v>
      </c>
      <c r="O898" s="765">
        <f>L898-M898</f>
        <v>0</v>
      </c>
      <c r="P898" s="765">
        <f>L898+H898</f>
        <v>179800</v>
      </c>
      <c r="Q898" s="765">
        <f>M898+I898</f>
        <v>0</v>
      </c>
      <c r="R898" s="766">
        <f>Q898/P898</f>
        <v>0</v>
      </c>
      <c r="S898" s="765">
        <f>P898-Q898</f>
        <v>179800</v>
      </c>
      <c r="T898" s="84"/>
      <c r="X898" s="833">
        <v>3500000</v>
      </c>
      <c r="Z898" s="830">
        <f>H898-X898+Y898</f>
        <v>-3320200</v>
      </c>
      <c r="AA898" s="831">
        <v>3500000</v>
      </c>
      <c r="AB898" s="84">
        <f t="shared" si="149"/>
        <v>-6820200</v>
      </c>
      <c r="AE898" s="84">
        <f>H898-AA898</f>
        <v>-3320200</v>
      </c>
    </row>
    <row r="899" spans="1:31" x14ac:dyDescent="0.25">
      <c r="A899" s="84"/>
      <c r="B899" s="84"/>
      <c r="C899" s="84"/>
      <c r="D899" s="84"/>
      <c r="E899" s="784"/>
      <c r="F899" s="785"/>
      <c r="G899" s="786" t="s">
        <v>5116</v>
      </c>
      <c r="H899" s="787"/>
      <c r="I899" s="787"/>
      <c r="J899" s="788"/>
      <c r="K899" s="787"/>
      <c r="L899" s="789"/>
      <c r="M899" s="789"/>
      <c r="N899" s="790"/>
      <c r="O899" s="789"/>
      <c r="P899" s="789"/>
      <c r="Q899" s="789"/>
      <c r="R899" s="790"/>
      <c r="S899" s="877"/>
      <c r="T899" s="84"/>
      <c r="AB899" s="84">
        <f t="shared" si="149"/>
        <v>0</v>
      </c>
    </row>
    <row r="900" spans="1:31" ht="15.75" thickBot="1" x14ac:dyDescent="0.3">
      <c r="A900" s="84"/>
      <c r="B900" s="84"/>
      <c r="C900" s="84"/>
      <c r="D900" s="84"/>
      <c r="E900" s="791"/>
      <c r="F900" s="792" t="s">
        <v>235</v>
      </c>
      <c r="G900" s="793" t="s">
        <v>236</v>
      </c>
      <c r="H900" s="794">
        <f>H898</f>
        <v>179800</v>
      </c>
      <c r="I900" s="794">
        <f>SUM(I895:I898)</f>
        <v>0</v>
      </c>
      <c r="J900" s="795">
        <f>I900/H900</f>
        <v>0</v>
      </c>
      <c r="K900" s="794">
        <f>SUM(K895:K898)</f>
        <v>179800</v>
      </c>
      <c r="L900" s="796">
        <v>0</v>
      </c>
      <c r="M900" s="796">
        <v>0</v>
      </c>
      <c r="N900" s="797"/>
      <c r="O900" s="796">
        <f>L900-M900</f>
        <v>0</v>
      </c>
      <c r="P900" s="796">
        <f>L900+H900</f>
        <v>179800</v>
      </c>
      <c r="Q900" s="796">
        <f>M900+I900</f>
        <v>0</v>
      </c>
      <c r="R900" s="797">
        <f>Q900/P900</f>
        <v>0</v>
      </c>
      <c r="S900" s="796">
        <f>P900-Q900</f>
        <v>179800</v>
      </c>
      <c r="T900" s="84"/>
      <c r="AB900" s="84">
        <f t="shared" si="149"/>
        <v>0</v>
      </c>
    </row>
    <row r="901" spans="1:31" ht="15.75" hidden="1" thickBot="1" x14ac:dyDescent="0.3">
      <c r="A901" s="84"/>
      <c r="B901" s="84"/>
      <c r="C901" s="84"/>
      <c r="D901" s="84"/>
      <c r="E901" s="791"/>
      <c r="F901" s="792">
        <v>10</v>
      </c>
      <c r="G901" s="793" t="s">
        <v>13</v>
      </c>
      <c r="H901" s="794"/>
      <c r="I901" s="794">
        <f t="shared" ref="I901:S901" si="162">SUM(I897:I898)</f>
        <v>0</v>
      </c>
      <c r="J901" s="795"/>
      <c r="K901" s="794">
        <f t="shared" si="162"/>
        <v>179800</v>
      </c>
      <c r="L901" s="796">
        <f t="shared" si="162"/>
        <v>0</v>
      </c>
      <c r="M901" s="796">
        <f t="shared" si="162"/>
        <v>0</v>
      </c>
      <c r="N901" s="797">
        <f t="shared" si="162"/>
        <v>0</v>
      </c>
      <c r="O901" s="796">
        <f t="shared" si="162"/>
        <v>0</v>
      </c>
      <c r="P901" s="796">
        <v>0</v>
      </c>
      <c r="Q901" s="796">
        <f t="shared" si="162"/>
        <v>0</v>
      </c>
      <c r="R901" s="797">
        <f t="shared" si="162"/>
        <v>0</v>
      </c>
      <c r="S901" s="796">
        <f t="shared" si="162"/>
        <v>179800</v>
      </c>
      <c r="T901" s="84"/>
      <c r="AB901" s="84">
        <f t="shared" si="149"/>
        <v>0</v>
      </c>
    </row>
    <row r="902" spans="1:31" ht="15.75" thickBot="1" x14ac:dyDescent="0.3">
      <c r="A902" s="84"/>
      <c r="B902" s="84"/>
      <c r="C902" s="84"/>
      <c r="D902" s="84"/>
      <c r="G902" s="798" t="s">
        <v>5117</v>
      </c>
      <c r="H902" s="799">
        <f>H900</f>
        <v>179800</v>
      </c>
      <c r="I902" s="799">
        <f t="shared" ref="I902:S902" si="163">I901</f>
        <v>0</v>
      </c>
      <c r="J902" s="800"/>
      <c r="K902" s="799">
        <f t="shared" si="163"/>
        <v>179800</v>
      </c>
      <c r="L902" s="801">
        <f t="shared" si="163"/>
        <v>0</v>
      </c>
      <c r="M902" s="801">
        <f t="shared" si="163"/>
        <v>0</v>
      </c>
      <c r="N902" s="802">
        <f t="shared" si="163"/>
        <v>0</v>
      </c>
      <c r="O902" s="801">
        <f t="shared" si="163"/>
        <v>0</v>
      </c>
      <c r="P902" s="801">
        <f>P900</f>
        <v>179800</v>
      </c>
      <c r="Q902" s="801">
        <f t="shared" si="163"/>
        <v>0</v>
      </c>
      <c r="R902" s="802">
        <f t="shared" si="163"/>
        <v>0</v>
      </c>
      <c r="S902" s="801">
        <f t="shared" si="163"/>
        <v>179800</v>
      </c>
      <c r="T902" s="84"/>
      <c r="AB902" s="84">
        <f t="shared" si="149"/>
        <v>0</v>
      </c>
    </row>
    <row r="903" spans="1:31" collapsed="1" x14ac:dyDescent="0.25">
      <c r="A903" s="84"/>
      <c r="B903" s="84"/>
      <c r="C903" s="84"/>
      <c r="D903" s="84"/>
      <c r="E903" s="784"/>
      <c r="F903" s="785"/>
      <c r="G903" s="803" t="s">
        <v>5136</v>
      </c>
      <c r="H903" s="804"/>
      <c r="I903" s="805"/>
      <c r="J903" s="806"/>
      <c r="K903" s="805"/>
      <c r="L903" s="807"/>
      <c r="M903" s="808"/>
      <c r="N903" s="809"/>
      <c r="O903" s="808"/>
      <c r="P903" s="808"/>
      <c r="Q903" s="808"/>
      <c r="R903" s="809"/>
      <c r="S903" s="878"/>
      <c r="T903" s="84"/>
      <c r="AB903" s="84">
        <f t="shared" si="149"/>
        <v>0</v>
      </c>
    </row>
    <row r="904" spans="1:31" ht="15.75" thickBot="1" x14ac:dyDescent="0.3">
      <c r="A904" s="84"/>
      <c r="B904" s="84"/>
      <c r="C904" s="84"/>
      <c r="D904" s="84"/>
      <c r="E904" s="791"/>
      <c r="F904" s="792" t="s">
        <v>235</v>
      </c>
      <c r="G904" s="793" t="s">
        <v>236</v>
      </c>
      <c r="H904" s="794">
        <f>H900</f>
        <v>179800</v>
      </c>
      <c r="I904" s="794">
        <f>SUM(I899:I902)</f>
        <v>0</v>
      </c>
      <c r="J904" s="795">
        <f>I904/H904</f>
        <v>0</v>
      </c>
      <c r="K904" s="794">
        <f>SUM(K899:K902)</f>
        <v>539400</v>
      </c>
      <c r="L904" s="796">
        <v>0</v>
      </c>
      <c r="M904" s="796">
        <v>0</v>
      </c>
      <c r="N904" s="797"/>
      <c r="O904" s="796">
        <f>L904-M904</f>
        <v>0</v>
      </c>
      <c r="P904" s="796">
        <f>L904+H904</f>
        <v>179800</v>
      </c>
      <c r="Q904" s="796">
        <f>M904+I904</f>
        <v>0</v>
      </c>
      <c r="R904" s="797">
        <f>Q904/P904</f>
        <v>0</v>
      </c>
      <c r="S904" s="796">
        <f>P904-Q904</f>
        <v>179800</v>
      </c>
      <c r="T904" s="84"/>
      <c r="AB904" s="84">
        <f t="shared" si="149"/>
        <v>0</v>
      </c>
    </row>
    <row r="905" spans="1:31" ht="15.75" hidden="1" thickBot="1" x14ac:dyDescent="0.3">
      <c r="A905" s="84"/>
      <c r="B905" s="84"/>
      <c r="C905" s="84"/>
      <c r="D905" s="84"/>
      <c r="E905" s="791"/>
      <c r="F905" s="792">
        <v>10</v>
      </c>
      <c r="G905" s="793" t="s">
        <v>13</v>
      </c>
      <c r="H905" s="794">
        <f>H901</f>
        <v>0</v>
      </c>
      <c r="I905" s="794">
        <f t="shared" ref="I905:S905" si="164">I901</f>
        <v>0</v>
      </c>
      <c r="J905" s="795"/>
      <c r="K905" s="794">
        <f t="shared" si="164"/>
        <v>179800</v>
      </c>
      <c r="L905" s="796">
        <f t="shared" si="164"/>
        <v>0</v>
      </c>
      <c r="M905" s="796">
        <f t="shared" si="164"/>
        <v>0</v>
      </c>
      <c r="N905" s="797">
        <f t="shared" si="164"/>
        <v>0</v>
      </c>
      <c r="O905" s="796">
        <f t="shared" si="164"/>
        <v>0</v>
      </c>
      <c r="P905" s="796">
        <f t="shared" si="164"/>
        <v>0</v>
      </c>
      <c r="Q905" s="796">
        <f t="shared" si="164"/>
        <v>0</v>
      </c>
      <c r="R905" s="797">
        <f t="shared" si="164"/>
        <v>0</v>
      </c>
      <c r="S905" s="796">
        <f t="shared" si="164"/>
        <v>179800</v>
      </c>
      <c r="T905" s="84"/>
      <c r="AB905" s="84">
        <f t="shared" si="149"/>
        <v>0</v>
      </c>
    </row>
    <row r="906" spans="1:31" ht="15.75" collapsed="1" thickBot="1" x14ac:dyDescent="0.3">
      <c r="G906" s="798" t="s">
        <v>5137</v>
      </c>
      <c r="H906" s="799">
        <f>H902</f>
        <v>179800</v>
      </c>
      <c r="I906" s="799">
        <f t="shared" ref="I906:S906" si="165">I902</f>
        <v>0</v>
      </c>
      <c r="J906" s="800"/>
      <c r="K906" s="799">
        <f t="shared" si="165"/>
        <v>179800</v>
      </c>
      <c r="L906" s="801">
        <f t="shared" si="165"/>
        <v>0</v>
      </c>
      <c r="M906" s="801">
        <f t="shared" si="165"/>
        <v>0</v>
      </c>
      <c r="N906" s="802">
        <f t="shared" si="165"/>
        <v>0</v>
      </c>
      <c r="O906" s="801">
        <f t="shared" si="165"/>
        <v>0</v>
      </c>
      <c r="P906" s="801">
        <f>P902</f>
        <v>179800</v>
      </c>
      <c r="Q906" s="801">
        <f t="shared" si="165"/>
        <v>0</v>
      </c>
      <c r="R906" s="802">
        <f t="shared" si="165"/>
        <v>0</v>
      </c>
      <c r="S906" s="801">
        <f t="shared" si="165"/>
        <v>179800</v>
      </c>
      <c r="AB906" s="84">
        <f t="shared" si="149"/>
        <v>0</v>
      </c>
    </row>
    <row r="907" spans="1:31" x14ac:dyDescent="0.25">
      <c r="G907" s="811"/>
      <c r="H907" s="812"/>
      <c r="I907" s="812"/>
      <c r="J907" s="813"/>
      <c r="K907" s="812"/>
      <c r="L907" s="814"/>
      <c r="M907" s="814"/>
      <c r="N907" s="815"/>
      <c r="O907" s="814"/>
      <c r="P907" s="814"/>
      <c r="Q907" s="814"/>
      <c r="R907" s="815"/>
      <c r="S907" s="814"/>
      <c r="AB907" s="84">
        <f t="shared" si="149"/>
        <v>0</v>
      </c>
    </row>
    <row r="908" spans="1:31" s="972" customFormat="1" ht="29.25" x14ac:dyDescent="0.25">
      <c r="A908" s="767"/>
      <c r="B908" s="768"/>
      <c r="C908" s="820" t="s">
        <v>4373</v>
      </c>
      <c r="D908" s="770"/>
      <c r="E908" s="771"/>
      <c r="F908" s="772"/>
      <c r="G908" s="773" t="s">
        <v>5420</v>
      </c>
      <c r="H908" s="774"/>
      <c r="I908" s="774"/>
      <c r="J908" s="775"/>
      <c r="K908" s="774"/>
      <c r="L908" s="776"/>
      <c r="M908" s="776"/>
      <c r="N908" s="777"/>
      <c r="O908" s="776"/>
      <c r="P908" s="776"/>
      <c r="Q908" s="776"/>
      <c r="R908" s="777"/>
      <c r="S908" s="970"/>
      <c r="T908" s="971"/>
      <c r="V908" s="973"/>
      <c r="W908" s="973"/>
      <c r="X908" s="833"/>
      <c r="Y908" s="834"/>
      <c r="Z908" s="830"/>
      <c r="AA908" s="831"/>
      <c r="AB908" s="972">
        <f t="shared" si="149"/>
        <v>0</v>
      </c>
    </row>
    <row r="909" spans="1:31" x14ac:dyDescent="0.25">
      <c r="C909" s="761"/>
      <c r="D909" s="778">
        <v>451</v>
      </c>
      <c r="E909" s="779"/>
      <c r="F909" s="778"/>
      <c r="G909" s="780" t="s">
        <v>154</v>
      </c>
      <c r="AB909" s="84">
        <f t="shared" si="149"/>
        <v>0</v>
      </c>
    </row>
    <row r="910" spans="1:31" ht="15.75" thickBot="1" x14ac:dyDescent="0.3">
      <c r="A910" s="84"/>
      <c r="B910" s="84"/>
      <c r="C910" s="84"/>
      <c r="D910" s="84"/>
      <c r="E910" s="760" t="s">
        <v>5105</v>
      </c>
      <c r="F910" s="782">
        <v>511</v>
      </c>
      <c r="G910" s="783" t="s">
        <v>4141</v>
      </c>
      <c r="H910" s="763">
        <v>2772902</v>
      </c>
      <c r="I910" s="763">
        <v>126615.97</v>
      </c>
      <c r="J910" s="764">
        <f>I910/H910</f>
        <v>4.5661898617405161E-2</v>
      </c>
      <c r="K910" s="763">
        <f>H910-I910</f>
        <v>2646286.0299999998</v>
      </c>
      <c r="L910" s="765">
        <v>0</v>
      </c>
      <c r="M910" s="765">
        <v>0</v>
      </c>
      <c r="O910" s="765">
        <f>L910-M910</f>
        <v>0</v>
      </c>
      <c r="P910" s="765">
        <f>L910+H910</f>
        <v>2772902</v>
      </c>
      <c r="Q910" s="765">
        <f>I910+M910</f>
        <v>126615.97</v>
      </c>
      <c r="R910" s="766">
        <f>Q910/P910</f>
        <v>4.5661898617405161E-2</v>
      </c>
      <c r="S910" s="765">
        <f>P910-Q910</f>
        <v>2646286.0299999998</v>
      </c>
      <c r="T910" s="84"/>
      <c r="Z910" s="830">
        <f>H910-X910+Y910</f>
        <v>2772902</v>
      </c>
      <c r="AA910" s="831">
        <v>126615.97</v>
      </c>
      <c r="AB910" s="84">
        <f t="shared" si="149"/>
        <v>2646286.0299999998</v>
      </c>
      <c r="AE910" s="84">
        <f>H910-AA910</f>
        <v>2646286.0299999998</v>
      </c>
    </row>
    <row r="911" spans="1:31" x14ac:dyDescent="0.25">
      <c r="A911" s="84"/>
      <c r="B911" s="84"/>
      <c r="C911" s="84"/>
      <c r="D911" s="84"/>
      <c r="E911" s="784"/>
      <c r="F911" s="785"/>
      <c r="G911" s="786" t="s">
        <v>5116</v>
      </c>
      <c r="H911" s="787"/>
      <c r="I911" s="787"/>
      <c r="J911" s="788"/>
      <c r="K911" s="787"/>
      <c r="L911" s="789"/>
      <c r="M911" s="789"/>
      <c r="N911" s="790"/>
      <c r="O911" s="789"/>
      <c r="P911" s="789"/>
      <c r="Q911" s="789"/>
      <c r="R911" s="790"/>
      <c r="S911" s="877"/>
      <c r="T911" s="84"/>
      <c r="AB911" s="84">
        <f t="shared" si="149"/>
        <v>0</v>
      </c>
    </row>
    <row r="912" spans="1:31" ht="15.75" thickBot="1" x14ac:dyDescent="0.3">
      <c r="A912" s="84"/>
      <c r="B912" s="84"/>
      <c r="C912" s="84"/>
      <c r="D912" s="84"/>
      <c r="E912" s="784"/>
      <c r="F912" s="792" t="s">
        <v>235</v>
      </c>
      <c r="G912" s="793" t="s">
        <v>236</v>
      </c>
      <c r="H912" s="794">
        <f>H910</f>
        <v>2772902</v>
      </c>
      <c r="I912" s="794">
        <f>SUM(I907:I910)</f>
        <v>126615.97</v>
      </c>
      <c r="J912" s="795">
        <f>I912/H912</f>
        <v>4.5661898617405161E-2</v>
      </c>
      <c r="K912" s="794">
        <f>SUM(K907:K910)</f>
        <v>2646286.0299999998</v>
      </c>
      <c r="L912" s="796">
        <v>0</v>
      </c>
      <c r="M912" s="796">
        <v>0</v>
      </c>
      <c r="N912" s="797"/>
      <c r="O912" s="796">
        <f>L912-M912</f>
        <v>0</v>
      </c>
      <c r="P912" s="796">
        <f>L912+H912</f>
        <v>2772902</v>
      </c>
      <c r="Q912" s="824"/>
      <c r="R912" s="825"/>
      <c r="S912" s="880"/>
      <c r="T912" s="84"/>
    </row>
    <row r="913" spans="1:31" ht="15.75" hidden="1" thickBot="1" x14ac:dyDescent="0.3">
      <c r="A913" s="84"/>
      <c r="B913" s="84"/>
      <c r="C913" s="84"/>
      <c r="D913" s="84"/>
      <c r="E913" s="791"/>
      <c r="F913" s="792">
        <v>10</v>
      </c>
      <c r="G913" s="793" t="s">
        <v>13</v>
      </c>
      <c r="H913" s="794">
        <v>0</v>
      </c>
      <c r="I913" s="794">
        <f>SUM(I910:I910)</f>
        <v>126615.97</v>
      </c>
      <c r="J913" s="795" t="e">
        <f>I913/H913</f>
        <v>#DIV/0!</v>
      </c>
      <c r="K913" s="794">
        <f>SUM(K910:K910)</f>
        <v>2646286.0299999998</v>
      </c>
      <c r="L913" s="796">
        <f>SUM(L910:L910)</f>
        <v>0</v>
      </c>
      <c r="M913" s="796">
        <f>SUM(M910:M910)</f>
        <v>0</v>
      </c>
      <c r="N913" s="797">
        <f>SUM(N909:N910)</f>
        <v>0</v>
      </c>
      <c r="O913" s="796">
        <f>SUM(O910:O910)</f>
        <v>0</v>
      </c>
      <c r="P913" s="796">
        <v>0</v>
      </c>
      <c r="Q913" s="796">
        <f>SUM(Q910:Q910)</f>
        <v>126615.97</v>
      </c>
      <c r="R913" s="797">
        <f>SUM(R909:R910)</f>
        <v>4.5661898617405161E-2</v>
      </c>
      <c r="S913" s="796">
        <f>SUM(S910:S910)</f>
        <v>2646286.0299999998</v>
      </c>
      <c r="T913" s="84"/>
      <c r="AB913" s="84">
        <f t="shared" si="149"/>
        <v>0</v>
      </c>
    </row>
    <row r="914" spans="1:31" ht="15.75" thickBot="1" x14ac:dyDescent="0.3">
      <c r="A914" s="84"/>
      <c r="B914" s="84"/>
      <c r="C914" s="84"/>
      <c r="D914" s="84"/>
      <c r="G914" s="798" t="s">
        <v>5117</v>
      </c>
      <c r="H914" s="799">
        <f>H912</f>
        <v>2772902</v>
      </c>
      <c r="I914" s="799">
        <f t="shared" ref="I914:S914" si="166">I913</f>
        <v>126615.97</v>
      </c>
      <c r="J914" s="800" t="e">
        <f t="shared" si="166"/>
        <v>#DIV/0!</v>
      </c>
      <c r="K914" s="799">
        <f t="shared" si="166"/>
        <v>2646286.0299999998</v>
      </c>
      <c r="L914" s="801">
        <f t="shared" si="166"/>
        <v>0</v>
      </c>
      <c r="M914" s="801">
        <f t="shared" si="166"/>
        <v>0</v>
      </c>
      <c r="N914" s="802">
        <f t="shared" si="166"/>
        <v>0</v>
      </c>
      <c r="O914" s="801">
        <f t="shared" si="166"/>
        <v>0</v>
      </c>
      <c r="P914" s="801">
        <f>P912</f>
        <v>2772902</v>
      </c>
      <c r="Q914" s="801">
        <f t="shared" si="166"/>
        <v>126615.97</v>
      </c>
      <c r="R914" s="802">
        <f t="shared" si="166"/>
        <v>4.5661898617405161E-2</v>
      </c>
      <c r="S914" s="801">
        <f t="shared" si="166"/>
        <v>2646286.0299999998</v>
      </c>
      <c r="T914" s="84"/>
      <c r="AB914" s="84">
        <f t="shared" si="149"/>
        <v>0</v>
      </c>
    </row>
    <row r="915" spans="1:31" collapsed="1" x14ac:dyDescent="0.25">
      <c r="A915" s="84"/>
      <c r="B915" s="84"/>
      <c r="C915" s="84"/>
      <c r="D915" s="84"/>
      <c r="E915" s="784"/>
      <c r="F915" s="785"/>
      <c r="G915" s="803" t="s">
        <v>5316</v>
      </c>
      <c r="H915" s="804"/>
      <c r="I915" s="805"/>
      <c r="J915" s="806"/>
      <c r="K915" s="805"/>
      <c r="L915" s="807"/>
      <c r="M915" s="808"/>
      <c r="N915" s="809"/>
      <c r="O915" s="808"/>
      <c r="P915" s="808"/>
      <c r="Q915" s="808"/>
      <c r="R915" s="809"/>
      <c r="S915" s="878"/>
      <c r="T915" s="84"/>
      <c r="AB915" s="84">
        <f t="shared" si="149"/>
        <v>0</v>
      </c>
    </row>
    <row r="916" spans="1:31" ht="15.75" thickBot="1" x14ac:dyDescent="0.3">
      <c r="A916" s="84"/>
      <c r="B916" s="84"/>
      <c r="C916" s="84"/>
      <c r="D916" s="84"/>
      <c r="E916" s="784"/>
      <c r="F916" s="792" t="s">
        <v>235</v>
      </c>
      <c r="G916" s="793" t="s">
        <v>236</v>
      </c>
      <c r="H916" s="794">
        <f>H912</f>
        <v>2772902</v>
      </c>
      <c r="I916" s="794">
        <f>SUM(I911:I914)</f>
        <v>379847.91000000003</v>
      </c>
      <c r="J916" s="795">
        <f>I916/H916</f>
        <v>0.13698569585221548</v>
      </c>
      <c r="K916" s="794">
        <f>SUM(K911:K914)</f>
        <v>7938858.0899999999</v>
      </c>
      <c r="L916" s="796">
        <v>0</v>
      </c>
      <c r="M916" s="796">
        <v>0</v>
      </c>
      <c r="N916" s="797"/>
      <c r="O916" s="796">
        <f>L916-M916</f>
        <v>0</v>
      </c>
      <c r="P916" s="796">
        <f>L916+H916</f>
        <v>2772902</v>
      </c>
      <c r="Q916" s="824"/>
      <c r="R916" s="825"/>
      <c r="S916" s="880"/>
      <c r="T916" s="84"/>
    </row>
    <row r="917" spans="1:31" ht="15.75" hidden="1" thickBot="1" x14ac:dyDescent="0.3">
      <c r="A917" s="84"/>
      <c r="B917" s="84"/>
      <c r="C917" s="84"/>
      <c r="D917" s="84"/>
      <c r="E917" s="791"/>
      <c r="F917" s="792">
        <v>10</v>
      </c>
      <c r="G917" s="793" t="s">
        <v>13</v>
      </c>
      <c r="H917" s="794">
        <f>H913</f>
        <v>0</v>
      </c>
      <c r="I917" s="794">
        <f t="shared" ref="I917:S917" si="167">I913</f>
        <v>126615.97</v>
      </c>
      <c r="J917" s="795" t="e">
        <f t="shared" si="167"/>
        <v>#DIV/0!</v>
      </c>
      <c r="K917" s="794">
        <f t="shared" si="167"/>
        <v>2646286.0299999998</v>
      </c>
      <c r="L917" s="796">
        <f t="shared" si="167"/>
        <v>0</v>
      </c>
      <c r="M917" s="796">
        <f t="shared" si="167"/>
        <v>0</v>
      </c>
      <c r="N917" s="797">
        <f t="shared" si="167"/>
        <v>0</v>
      </c>
      <c r="O917" s="796">
        <f t="shared" si="167"/>
        <v>0</v>
      </c>
      <c r="P917" s="796">
        <f t="shared" si="167"/>
        <v>0</v>
      </c>
      <c r="Q917" s="796">
        <f t="shared" si="167"/>
        <v>126615.97</v>
      </c>
      <c r="R917" s="797">
        <f t="shared" si="167"/>
        <v>4.5661898617405161E-2</v>
      </c>
      <c r="S917" s="796">
        <f t="shared" si="167"/>
        <v>2646286.0299999998</v>
      </c>
      <c r="T917" s="84"/>
      <c r="AB917" s="84">
        <f t="shared" si="149"/>
        <v>0</v>
      </c>
    </row>
    <row r="918" spans="1:31" ht="15.75" collapsed="1" thickBot="1" x14ac:dyDescent="0.3">
      <c r="G918" s="798" t="s">
        <v>5317</v>
      </c>
      <c r="H918" s="799">
        <f>H914</f>
        <v>2772902</v>
      </c>
      <c r="I918" s="799">
        <f t="shared" ref="I918:S918" si="168">I914</f>
        <v>126615.97</v>
      </c>
      <c r="J918" s="800" t="e">
        <f t="shared" si="168"/>
        <v>#DIV/0!</v>
      </c>
      <c r="K918" s="799">
        <f t="shared" si="168"/>
        <v>2646286.0299999998</v>
      </c>
      <c r="L918" s="801">
        <f t="shared" si="168"/>
        <v>0</v>
      </c>
      <c r="M918" s="801">
        <f t="shared" si="168"/>
        <v>0</v>
      </c>
      <c r="N918" s="802">
        <f t="shared" si="168"/>
        <v>0</v>
      </c>
      <c r="O918" s="801">
        <f t="shared" si="168"/>
        <v>0</v>
      </c>
      <c r="P918" s="801">
        <f t="shared" si="168"/>
        <v>2772902</v>
      </c>
      <c r="Q918" s="801">
        <f t="shared" si="168"/>
        <v>126615.97</v>
      </c>
      <c r="R918" s="802">
        <f t="shared" si="168"/>
        <v>4.5661898617405161E-2</v>
      </c>
      <c r="S918" s="801">
        <f t="shared" si="168"/>
        <v>2646286.0299999998</v>
      </c>
      <c r="AB918" s="84">
        <f t="shared" si="149"/>
        <v>0</v>
      </c>
    </row>
    <row r="919" spans="1:31" x14ac:dyDescent="0.25">
      <c r="G919" s="811"/>
      <c r="H919" s="812"/>
      <c r="I919" s="812"/>
      <c r="J919" s="813"/>
      <c r="K919" s="812"/>
      <c r="L919" s="814"/>
      <c r="M919" s="814"/>
      <c r="N919" s="815"/>
      <c r="O919" s="814"/>
      <c r="P919" s="814"/>
      <c r="Q919" s="814"/>
      <c r="R919" s="815"/>
      <c r="S919" s="814"/>
    </row>
    <row r="920" spans="1:31" s="972" customFormat="1" ht="29.25" x14ac:dyDescent="0.25">
      <c r="A920" s="767"/>
      <c r="B920" s="768"/>
      <c r="C920" s="820" t="s">
        <v>4374</v>
      </c>
      <c r="D920" s="770"/>
      <c r="E920" s="771"/>
      <c r="F920" s="772"/>
      <c r="G920" s="773" t="s">
        <v>5421</v>
      </c>
      <c r="H920" s="774"/>
      <c r="I920" s="774"/>
      <c r="J920" s="775"/>
      <c r="K920" s="774"/>
      <c r="L920" s="776"/>
      <c r="M920" s="776"/>
      <c r="N920" s="777"/>
      <c r="O920" s="776"/>
      <c r="P920" s="776"/>
      <c r="Q920" s="776"/>
      <c r="R920" s="777"/>
      <c r="S920" s="970"/>
      <c r="T920" s="971"/>
      <c r="V920" s="973"/>
      <c r="W920" s="973"/>
      <c r="X920" s="833"/>
      <c r="Y920" s="834"/>
      <c r="Z920" s="830"/>
      <c r="AA920" s="831"/>
      <c r="AB920" s="972">
        <f t="shared" ref="AB920:AB930" si="169">Z920-AA920</f>
        <v>0</v>
      </c>
    </row>
    <row r="921" spans="1:31" x14ac:dyDescent="0.25">
      <c r="C921" s="761"/>
      <c r="D921" s="778">
        <v>451</v>
      </c>
      <c r="E921" s="779"/>
      <c r="F921" s="778"/>
      <c r="G921" s="780" t="s">
        <v>154</v>
      </c>
      <c r="AB921" s="84">
        <f t="shared" si="169"/>
        <v>0</v>
      </c>
    </row>
    <row r="922" spans="1:31" ht="15.75" thickBot="1" x14ac:dyDescent="0.3">
      <c r="A922" s="84"/>
      <c r="B922" s="84"/>
      <c r="C922" s="84"/>
      <c r="D922" s="84"/>
      <c r="E922" s="760" t="s">
        <v>5227</v>
      </c>
      <c r="F922" s="782">
        <v>511</v>
      </c>
      <c r="G922" s="783" t="s">
        <v>4141</v>
      </c>
      <c r="H922" s="763">
        <v>2772902</v>
      </c>
      <c r="I922" s="763">
        <v>126615.97</v>
      </c>
      <c r="J922" s="764">
        <f>I922/H922</f>
        <v>4.5661898617405161E-2</v>
      </c>
      <c r="K922" s="763">
        <f>H922-I922</f>
        <v>2646286.0299999998</v>
      </c>
      <c r="L922" s="765">
        <v>0</v>
      </c>
      <c r="M922" s="765">
        <v>0</v>
      </c>
      <c r="O922" s="765">
        <f>L922-M922</f>
        <v>0</v>
      </c>
      <c r="P922" s="765">
        <f>L922+H922</f>
        <v>2772902</v>
      </c>
      <c r="Q922" s="765">
        <f>I922+M922</f>
        <v>126615.97</v>
      </c>
      <c r="R922" s="766">
        <f>Q922/P922</f>
        <v>4.5661898617405161E-2</v>
      </c>
      <c r="S922" s="765">
        <f>P922-Q922</f>
        <v>2646286.0299999998</v>
      </c>
      <c r="T922" s="84"/>
      <c r="Z922" s="830">
        <f>H922-X922+Y922</f>
        <v>2772902</v>
      </c>
      <c r="AA922" s="831">
        <v>126615.97</v>
      </c>
      <c r="AB922" s="84">
        <f t="shared" si="169"/>
        <v>2646286.0299999998</v>
      </c>
      <c r="AE922" s="84">
        <f>H922-AA922</f>
        <v>2646286.0299999998</v>
      </c>
    </row>
    <row r="923" spans="1:31" x14ac:dyDescent="0.25">
      <c r="A923" s="84"/>
      <c r="B923" s="84"/>
      <c r="C923" s="84"/>
      <c r="D923" s="84"/>
      <c r="E923" s="784"/>
      <c r="F923" s="785"/>
      <c r="G923" s="786" t="s">
        <v>5116</v>
      </c>
      <c r="H923" s="787"/>
      <c r="I923" s="787"/>
      <c r="J923" s="788"/>
      <c r="K923" s="787"/>
      <c r="L923" s="789"/>
      <c r="M923" s="789"/>
      <c r="N923" s="790"/>
      <c r="O923" s="789"/>
      <c r="P923" s="789"/>
      <c r="Q923" s="789"/>
      <c r="R923" s="790"/>
      <c r="S923" s="877"/>
      <c r="T923" s="84"/>
      <c r="AB923" s="84">
        <f t="shared" si="169"/>
        <v>0</v>
      </c>
    </row>
    <row r="924" spans="1:31" ht="15.75" thickBot="1" x14ac:dyDescent="0.3">
      <c r="A924" s="84"/>
      <c r="B924" s="84"/>
      <c r="C924" s="84"/>
      <c r="D924" s="84"/>
      <c r="E924" s="784"/>
      <c r="F924" s="792" t="s">
        <v>235</v>
      </c>
      <c r="G924" s="793" t="s">
        <v>236</v>
      </c>
      <c r="H924" s="794">
        <f>H922</f>
        <v>2772902</v>
      </c>
      <c r="I924" s="794">
        <f>SUM(I919:I922)</f>
        <v>126615.97</v>
      </c>
      <c r="J924" s="795">
        <f>I924/H924</f>
        <v>4.5661898617405161E-2</v>
      </c>
      <c r="K924" s="794">
        <f>SUM(K919:K922)</f>
        <v>2646286.0299999998</v>
      </c>
      <c r="L924" s="796">
        <v>0</v>
      </c>
      <c r="M924" s="796">
        <v>0</v>
      </c>
      <c r="N924" s="797"/>
      <c r="O924" s="796">
        <f>L924-M924</f>
        <v>0</v>
      </c>
      <c r="P924" s="796">
        <f>L924+H924</f>
        <v>2772902</v>
      </c>
      <c r="Q924" s="824"/>
      <c r="R924" s="825"/>
      <c r="S924" s="880"/>
      <c r="T924" s="84"/>
    </row>
    <row r="925" spans="1:31" ht="15.75" hidden="1" thickBot="1" x14ac:dyDescent="0.3">
      <c r="A925" s="84"/>
      <c r="B925" s="84"/>
      <c r="C925" s="84"/>
      <c r="D925" s="84"/>
      <c r="E925" s="791"/>
      <c r="F925" s="792">
        <v>10</v>
      </c>
      <c r="G925" s="793" t="s">
        <v>13</v>
      </c>
      <c r="H925" s="794">
        <v>0</v>
      </c>
      <c r="I925" s="794">
        <f>SUM(I922:I922)</f>
        <v>126615.97</v>
      </c>
      <c r="J925" s="795" t="e">
        <f>I925/H925</f>
        <v>#DIV/0!</v>
      </c>
      <c r="K925" s="794">
        <f>SUM(K922:K922)</f>
        <v>2646286.0299999998</v>
      </c>
      <c r="L925" s="796">
        <f>SUM(L922:L922)</f>
        <v>0</v>
      </c>
      <c r="M925" s="796">
        <f>SUM(M922:M922)</f>
        <v>0</v>
      </c>
      <c r="N925" s="797">
        <f>SUM(N921:N922)</f>
        <v>0</v>
      </c>
      <c r="O925" s="796">
        <f>SUM(O922:O922)</f>
        <v>0</v>
      </c>
      <c r="P925" s="796">
        <v>0</v>
      </c>
      <c r="Q925" s="796">
        <f>SUM(Q922:Q922)</f>
        <v>126615.97</v>
      </c>
      <c r="R925" s="797">
        <f>SUM(R921:R922)</f>
        <v>4.5661898617405161E-2</v>
      </c>
      <c r="S925" s="796">
        <f>SUM(S922:S922)</f>
        <v>2646286.0299999998</v>
      </c>
      <c r="T925" s="84"/>
      <c r="AB925" s="84">
        <f t="shared" si="169"/>
        <v>0</v>
      </c>
    </row>
    <row r="926" spans="1:31" ht="15.75" thickBot="1" x14ac:dyDescent="0.3">
      <c r="A926" s="84"/>
      <c r="B926" s="84"/>
      <c r="C926" s="84"/>
      <c r="D926" s="84"/>
      <c r="G926" s="798" t="s">
        <v>5117</v>
      </c>
      <c r="H926" s="799">
        <f>H924</f>
        <v>2772902</v>
      </c>
      <c r="I926" s="799">
        <f t="shared" ref="I926:S926" si="170">I925</f>
        <v>126615.97</v>
      </c>
      <c r="J926" s="800" t="e">
        <f t="shared" si="170"/>
        <v>#DIV/0!</v>
      </c>
      <c r="K926" s="799">
        <f t="shared" si="170"/>
        <v>2646286.0299999998</v>
      </c>
      <c r="L926" s="801">
        <f t="shared" si="170"/>
        <v>0</v>
      </c>
      <c r="M926" s="801">
        <f t="shared" si="170"/>
        <v>0</v>
      </c>
      <c r="N926" s="802">
        <f t="shared" si="170"/>
        <v>0</v>
      </c>
      <c r="O926" s="801">
        <f t="shared" si="170"/>
        <v>0</v>
      </c>
      <c r="P926" s="801">
        <f>P924</f>
        <v>2772902</v>
      </c>
      <c r="Q926" s="801">
        <f t="shared" si="170"/>
        <v>126615.97</v>
      </c>
      <c r="R926" s="802">
        <f t="shared" si="170"/>
        <v>4.5661898617405161E-2</v>
      </c>
      <c r="S926" s="801">
        <f t="shared" si="170"/>
        <v>2646286.0299999998</v>
      </c>
      <c r="T926" s="84"/>
      <c r="AB926" s="84">
        <f t="shared" si="169"/>
        <v>0</v>
      </c>
    </row>
    <row r="927" spans="1:31" collapsed="1" x14ac:dyDescent="0.25">
      <c r="A927" s="84"/>
      <c r="B927" s="84"/>
      <c r="C927" s="84"/>
      <c r="D927" s="84"/>
      <c r="E927" s="784"/>
      <c r="F927" s="785"/>
      <c r="G927" s="803" t="s">
        <v>5418</v>
      </c>
      <c r="H927" s="804"/>
      <c r="I927" s="805"/>
      <c r="J927" s="806"/>
      <c r="K927" s="805"/>
      <c r="L927" s="807"/>
      <c r="M927" s="808"/>
      <c r="N927" s="809"/>
      <c r="O927" s="808"/>
      <c r="P927" s="808"/>
      <c r="Q927" s="808"/>
      <c r="R927" s="809"/>
      <c r="S927" s="878"/>
      <c r="T927" s="84"/>
      <c r="AB927" s="84">
        <f t="shared" si="169"/>
        <v>0</v>
      </c>
    </row>
    <row r="928" spans="1:31" ht="15.75" thickBot="1" x14ac:dyDescent="0.3">
      <c r="A928" s="84"/>
      <c r="B928" s="84"/>
      <c r="C928" s="84"/>
      <c r="D928" s="84"/>
      <c r="E928" s="784"/>
      <c r="F928" s="792" t="s">
        <v>235</v>
      </c>
      <c r="G928" s="793" t="s">
        <v>236</v>
      </c>
      <c r="H928" s="794">
        <f>H924</f>
        <v>2772902</v>
      </c>
      <c r="I928" s="794">
        <f>SUM(I923:I926)</f>
        <v>379847.91000000003</v>
      </c>
      <c r="J928" s="795">
        <f>I928/H928</f>
        <v>0.13698569585221548</v>
      </c>
      <c r="K928" s="794">
        <f>SUM(K923:K926)</f>
        <v>7938858.0899999999</v>
      </c>
      <c r="L928" s="796">
        <v>0</v>
      </c>
      <c r="M928" s="796">
        <v>0</v>
      </c>
      <c r="N928" s="797"/>
      <c r="O928" s="796">
        <f>L928-M928</f>
        <v>0</v>
      </c>
      <c r="P928" s="796">
        <f>L928+H928</f>
        <v>2772902</v>
      </c>
      <c r="Q928" s="824"/>
      <c r="R928" s="825"/>
      <c r="S928" s="880"/>
      <c r="T928" s="84"/>
    </row>
    <row r="929" spans="1:31" ht="15.75" hidden="1" thickBot="1" x14ac:dyDescent="0.3">
      <c r="A929" s="84"/>
      <c r="B929" s="84"/>
      <c r="C929" s="84"/>
      <c r="D929" s="84"/>
      <c r="E929" s="791"/>
      <c r="F929" s="792">
        <v>10</v>
      </c>
      <c r="G929" s="793" t="s">
        <v>13</v>
      </c>
      <c r="H929" s="794">
        <f>H925</f>
        <v>0</v>
      </c>
      <c r="I929" s="794">
        <f t="shared" ref="I929:S929" si="171">I925</f>
        <v>126615.97</v>
      </c>
      <c r="J929" s="795" t="e">
        <f t="shared" si="171"/>
        <v>#DIV/0!</v>
      </c>
      <c r="K929" s="794">
        <f t="shared" si="171"/>
        <v>2646286.0299999998</v>
      </c>
      <c r="L929" s="796">
        <f t="shared" si="171"/>
        <v>0</v>
      </c>
      <c r="M929" s="796">
        <f t="shared" si="171"/>
        <v>0</v>
      </c>
      <c r="N929" s="797">
        <f t="shared" si="171"/>
        <v>0</v>
      </c>
      <c r="O929" s="796">
        <f t="shared" si="171"/>
        <v>0</v>
      </c>
      <c r="P929" s="796">
        <f t="shared" si="171"/>
        <v>0</v>
      </c>
      <c r="Q929" s="796">
        <f t="shared" si="171"/>
        <v>126615.97</v>
      </c>
      <c r="R929" s="797">
        <f t="shared" si="171"/>
        <v>4.5661898617405161E-2</v>
      </c>
      <c r="S929" s="796">
        <f t="shared" si="171"/>
        <v>2646286.0299999998</v>
      </c>
      <c r="T929" s="84"/>
      <c r="AB929" s="84">
        <f t="shared" si="169"/>
        <v>0</v>
      </c>
    </row>
    <row r="930" spans="1:31" ht="15.75" collapsed="1" thickBot="1" x14ac:dyDescent="0.3">
      <c r="G930" s="798" t="s">
        <v>5419</v>
      </c>
      <c r="H930" s="799">
        <f>H926</f>
        <v>2772902</v>
      </c>
      <c r="I930" s="799">
        <f t="shared" ref="I930:S930" si="172">I926</f>
        <v>126615.97</v>
      </c>
      <c r="J930" s="800" t="e">
        <f t="shared" si="172"/>
        <v>#DIV/0!</v>
      </c>
      <c r="K930" s="799">
        <f t="shared" si="172"/>
        <v>2646286.0299999998</v>
      </c>
      <c r="L930" s="801">
        <f t="shared" si="172"/>
        <v>0</v>
      </c>
      <c r="M930" s="801">
        <f t="shared" si="172"/>
        <v>0</v>
      </c>
      <c r="N930" s="802">
        <f t="shared" si="172"/>
        <v>0</v>
      </c>
      <c r="O930" s="801">
        <f t="shared" si="172"/>
        <v>0</v>
      </c>
      <c r="P930" s="801">
        <f>P926</f>
        <v>2772902</v>
      </c>
      <c r="Q930" s="801">
        <f t="shared" si="172"/>
        <v>126615.97</v>
      </c>
      <c r="R930" s="802">
        <f t="shared" si="172"/>
        <v>4.5661898617405161E-2</v>
      </c>
      <c r="S930" s="801">
        <f t="shared" si="172"/>
        <v>2646286.0299999998</v>
      </c>
      <c r="AB930" s="84">
        <f t="shared" si="169"/>
        <v>0</v>
      </c>
    </row>
    <row r="931" spans="1:31" x14ac:dyDescent="0.25">
      <c r="G931" s="811"/>
      <c r="H931" s="812"/>
      <c r="I931" s="812"/>
      <c r="J931" s="813"/>
      <c r="K931" s="812"/>
      <c r="L931" s="814"/>
      <c r="M931" s="814"/>
      <c r="N931" s="815"/>
      <c r="O931" s="814"/>
      <c r="P931" s="814"/>
      <c r="Q931" s="814"/>
      <c r="R931" s="815"/>
      <c r="S931" s="814"/>
      <c r="AB931" s="84">
        <f t="shared" si="149"/>
        <v>0</v>
      </c>
    </row>
    <row r="932" spans="1:31" s="972" customFormat="1" ht="29.25" x14ac:dyDescent="0.25">
      <c r="A932" s="767"/>
      <c r="B932" s="768"/>
      <c r="C932" s="820" t="s">
        <v>4375</v>
      </c>
      <c r="D932" s="770"/>
      <c r="E932" s="771"/>
      <c r="F932" s="772"/>
      <c r="G932" s="773" t="s">
        <v>5424</v>
      </c>
      <c r="H932" s="774"/>
      <c r="I932" s="774"/>
      <c r="J932" s="775"/>
      <c r="K932" s="774"/>
      <c r="L932" s="776"/>
      <c r="M932" s="776"/>
      <c r="N932" s="777"/>
      <c r="O932" s="776"/>
      <c r="P932" s="776"/>
      <c r="Q932" s="776"/>
      <c r="R932" s="777"/>
      <c r="S932" s="970"/>
      <c r="T932" s="971"/>
      <c r="V932" s="973"/>
      <c r="W932" s="973"/>
      <c r="X932" s="833"/>
      <c r="Y932" s="834"/>
      <c r="Z932" s="830"/>
      <c r="AA932" s="831"/>
      <c r="AB932" s="972">
        <f t="shared" si="149"/>
        <v>0</v>
      </c>
    </row>
    <row r="933" spans="1:31" x14ac:dyDescent="0.25">
      <c r="C933" s="761"/>
      <c r="D933" s="778">
        <v>451</v>
      </c>
      <c r="E933" s="779"/>
      <c r="F933" s="778"/>
      <c r="G933" s="780" t="s">
        <v>154</v>
      </c>
      <c r="AB933" s="84">
        <f t="shared" si="149"/>
        <v>0</v>
      </c>
    </row>
    <row r="934" spans="1:31" ht="15.75" thickBot="1" x14ac:dyDescent="0.3">
      <c r="A934" s="84"/>
      <c r="B934" s="84"/>
      <c r="C934" s="84"/>
      <c r="D934" s="84"/>
      <c r="E934" s="760" t="s">
        <v>5228</v>
      </c>
      <c r="F934" s="782">
        <v>511</v>
      </c>
      <c r="G934" s="783" t="s">
        <v>4141</v>
      </c>
      <c r="H934" s="763">
        <v>0</v>
      </c>
      <c r="I934" s="763">
        <v>126615.97</v>
      </c>
      <c r="J934" s="764" t="e">
        <f>I934/H934</f>
        <v>#DIV/0!</v>
      </c>
      <c r="K934" s="763">
        <f>H934-I934</f>
        <v>-126615.97</v>
      </c>
      <c r="L934" s="765">
        <v>2529792</v>
      </c>
      <c r="M934" s="765">
        <v>0</v>
      </c>
      <c r="O934" s="765">
        <f>L934-M934</f>
        <v>2529792</v>
      </c>
      <c r="P934" s="765">
        <f>L934+H934</f>
        <v>2529792</v>
      </c>
      <c r="Q934" s="765">
        <f>I934+M934</f>
        <v>126615.97</v>
      </c>
      <c r="R934" s="766">
        <f>Q934/P934</f>
        <v>5.0049952723385957E-2</v>
      </c>
      <c r="S934" s="765">
        <f>P934-Q934</f>
        <v>2403176.0299999998</v>
      </c>
      <c r="T934" s="84"/>
      <c r="Z934" s="830">
        <f>H934-X934+Y934</f>
        <v>0</v>
      </c>
      <c r="AA934" s="831">
        <v>126615.97</v>
      </c>
      <c r="AB934" s="84">
        <f t="shared" si="149"/>
        <v>-126615.97</v>
      </c>
      <c r="AE934" s="84">
        <f>H934-AA934</f>
        <v>-126615.97</v>
      </c>
    </row>
    <row r="935" spans="1:31" x14ac:dyDescent="0.25">
      <c r="A935" s="84"/>
      <c r="B935" s="84"/>
      <c r="C935" s="84"/>
      <c r="D935" s="84"/>
      <c r="E935" s="784"/>
      <c r="F935" s="785"/>
      <c r="G935" s="786" t="s">
        <v>5116</v>
      </c>
      <c r="H935" s="787"/>
      <c r="I935" s="787"/>
      <c r="J935" s="788"/>
      <c r="K935" s="787"/>
      <c r="L935" s="789"/>
      <c r="M935" s="789"/>
      <c r="N935" s="790"/>
      <c r="O935" s="789"/>
      <c r="P935" s="789"/>
      <c r="Q935" s="789"/>
      <c r="R935" s="790"/>
      <c r="S935" s="877"/>
      <c r="T935" s="84"/>
      <c r="AB935" s="84">
        <f t="shared" si="149"/>
        <v>0</v>
      </c>
    </row>
    <row r="936" spans="1:31" ht="15.75" thickBot="1" x14ac:dyDescent="0.3">
      <c r="A936" s="84"/>
      <c r="B936" s="84"/>
      <c r="C936" s="84"/>
      <c r="D936" s="84"/>
      <c r="E936" s="791"/>
      <c r="F936" s="792">
        <v>10</v>
      </c>
      <c r="G936" s="793" t="s">
        <v>13</v>
      </c>
      <c r="H936" s="794">
        <f>SUM(H934:H934)</f>
        <v>0</v>
      </c>
      <c r="I936" s="794">
        <f>SUM(I934:I934)</f>
        <v>126615.97</v>
      </c>
      <c r="J936" s="795" t="e">
        <f>I936/H936</f>
        <v>#DIV/0!</v>
      </c>
      <c r="K936" s="794">
        <f>SUM(K934:K934)</f>
        <v>-126615.97</v>
      </c>
      <c r="L936" s="796">
        <f>SUM(L934:L934)</f>
        <v>2529792</v>
      </c>
      <c r="M936" s="796">
        <f>SUM(M934:M934)</f>
        <v>0</v>
      </c>
      <c r="N936" s="797">
        <f>SUM(N933:N934)</f>
        <v>0</v>
      </c>
      <c r="O936" s="796">
        <f>SUM(O934:O934)</f>
        <v>2529792</v>
      </c>
      <c r="P936" s="796">
        <f>SUM(P934:P934)</f>
        <v>2529792</v>
      </c>
      <c r="Q936" s="796">
        <f>SUM(Q934:Q934)</f>
        <v>126615.97</v>
      </c>
      <c r="R936" s="797">
        <f>SUM(R933:R934)</f>
        <v>5.0049952723385957E-2</v>
      </c>
      <c r="S936" s="796">
        <f>SUM(S934:S934)</f>
        <v>2403176.0299999998</v>
      </c>
      <c r="T936" s="84"/>
      <c r="AB936" s="84">
        <f t="shared" si="149"/>
        <v>0</v>
      </c>
    </row>
    <row r="937" spans="1:31" ht="15.75" thickBot="1" x14ac:dyDescent="0.3">
      <c r="A937" s="84"/>
      <c r="B937" s="84"/>
      <c r="C937" s="84"/>
      <c r="D937" s="84"/>
      <c r="G937" s="798" t="s">
        <v>5117</v>
      </c>
      <c r="H937" s="799">
        <f>H936</f>
        <v>0</v>
      </c>
      <c r="I937" s="799">
        <f t="shared" ref="I937:S937" si="173">I936</f>
        <v>126615.97</v>
      </c>
      <c r="J937" s="800" t="e">
        <f t="shared" si="173"/>
        <v>#DIV/0!</v>
      </c>
      <c r="K937" s="799">
        <f t="shared" si="173"/>
        <v>-126615.97</v>
      </c>
      <c r="L937" s="801">
        <f t="shared" si="173"/>
        <v>2529792</v>
      </c>
      <c r="M937" s="801">
        <f t="shared" si="173"/>
        <v>0</v>
      </c>
      <c r="N937" s="802">
        <f t="shared" si="173"/>
        <v>0</v>
      </c>
      <c r="O937" s="801">
        <f t="shared" si="173"/>
        <v>2529792</v>
      </c>
      <c r="P937" s="801">
        <f t="shared" si="173"/>
        <v>2529792</v>
      </c>
      <c r="Q937" s="801">
        <f t="shared" si="173"/>
        <v>126615.97</v>
      </c>
      <c r="R937" s="802">
        <f t="shared" si="173"/>
        <v>5.0049952723385957E-2</v>
      </c>
      <c r="S937" s="801">
        <f t="shared" si="173"/>
        <v>2403176.0299999998</v>
      </c>
      <c r="T937" s="84"/>
      <c r="AB937" s="84">
        <f t="shared" si="149"/>
        <v>0</v>
      </c>
    </row>
    <row r="938" spans="1:31" collapsed="1" x14ac:dyDescent="0.25">
      <c r="A938" s="84"/>
      <c r="B938" s="84"/>
      <c r="C938" s="84"/>
      <c r="D938" s="84"/>
      <c r="E938" s="784"/>
      <c r="F938" s="785"/>
      <c r="G938" s="803" t="s">
        <v>5422</v>
      </c>
      <c r="H938" s="804"/>
      <c r="I938" s="805"/>
      <c r="J938" s="806"/>
      <c r="K938" s="805"/>
      <c r="L938" s="807"/>
      <c r="M938" s="808"/>
      <c r="N938" s="809"/>
      <c r="O938" s="808"/>
      <c r="P938" s="808"/>
      <c r="Q938" s="808"/>
      <c r="R938" s="809"/>
      <c r="S938" s="878"/>
      <c r="T938" s="84"/>
      <c r="AB938" s="84">
        <f t="shared" si="149"/>
        <v>0</v>
      </c>
    </row>
    <row r="939" spans="1:31" ht="15.75" thickBot="1" x14ac:dyDescent="0.3">
      <c r="A939" s="84"/>
      <c r="B939" s="84"/>
      <c r="C939" s="84"/>
      <c r="D939" s="84"/>
      <c r="E939" s="791"/>
      <c r="F939" s="792">
        <v>10</v>
      </c>
      <c r="G939" s="793" t="s">
        <v>13</v>
      </c>
      <c r="H939" s="794">
        <f>H936</f>
        <v>0</v>
      </c>
      <c r="I939" s="794">
        <f t="shared" ref="I939:S939" si="174">I936</f>
        <v>126615.97</v>
      </c>
      <c r="J939" s="795" t="e">
        <f t="shared" si="174"/>
        <v>#DIV/0!</v>
      </c>
      <c r="K939" s="794">
        <f t="shared" si="174"/>
        <v>-126615.97</v>
      </c>
      <c r="L939" s="796">
        <f t="shared" si="174"/>
        <v>2529792</v>
      </c>
      <c r="M939" s="796">
        <f t="shared" si="174"/>
        <v>0</v>
      </c>
      <c r="N939" s="797">
        <f t="shared" si="174"/>
        <v>0</v>
      </c>
      <c r="O939" s="796">
        <f t="shared" si="174"/>
        <v>2529792</v>
      </c>
      <c r="P939" s="796">
        <f t="shared" si="174"/>
        <v>2529792</v>
      </c>
      <c r="Q939" s="796">
        <f t="shared" si="174"/>
        <v>126615.97</v>
      </c>
      <c r="R939" s="797">
        <f t="shared" si="174"/>
        <v>5.0049952723385957E-2</v>
      </c>
      <c r="S939" s="796">
        <f t="shared" si="174"/>
        <v>2403176.0299999998</v>
      </c>
      <c r="T939" s="84"/>
      <c r="AB939" s="84">
        <f t="shared" si="149"/>
        <v>0</v>
      </c>
    </row>
    <row r="940" spans="1:31" ht="15.75" collapsed="1" thickBot="1" x14ac:dyDescent="0.3">
      <c r="G940" s="798" t="s">
        <v>5423</v>
      </c>
      <c r="H940" s="799">
        <f>H937</f>
        <v>0</v>
      </c>
      <c r="I940" s="799">
        <f t="shared" ref="I940:S940" si="175">I937</f>
        <v>126615.97</v>
      </c>
      <c r="J940" s="800" t="e">
        <f t="shared" si="175"/>
        <v>#DIV/0!</v>
      </c>
      <c r="K940" s="799">
        <f t="shared" si="175"/>
        <v>-126615.97</v>
      </c>
      <c r="L940" s="801">
        <f t="shared" si="175"/>
        <v>2529792</v>
      </c>
      <c r="M940" s="801">
        <f t="shared" si="175"/>
        <v>0</v>
      </c>
      <c r="N940" s="802">
        <f t="shared" si="175"/>
        <v>0</v>
      </c>
      <c r="O940" s="801">
        <f t="shared" si="175"/>
        <v>2529792</v>
      </c>
      <c r="P940" s="801">
        <f t="shared" si="175"/>
        <v>2529792</v>
      </c>
      <c r="Q940" s="801">
        <f t="shared" si="175"/>
        <v>126615.97</v>
      </c>
      <c r="R940" s="802">
        <f t="shared" si="175"/>
        <v>5.0049952723385957E-2</v>
      </c>
      <c r="S940" s="801">
        <f t="shared" si="175"/>
        <v>2403176.0299999998</v>
      </c>
      <c r="AB940" s="84">
        <f t="shared" si="149"/>
        <v>0</v>
      </c>
    </row>
    <row r="941" spans="1:31" x14ac:dyDescent="0.25">
      <c r="G941" s="811"/>
      <c r="H941" s="812"/>
      <c r="I941" s="812"/>
      <c r="J941" s="813"/>
      <c r="K941" s="812"/>
      <c r="L941" s="814"/>
      <c r="M941" s="814"/>
      <c r="N941" s="815"/>
      <c r="O941" s="814"/>
      <c r="P941" s="814"/>
      <c r="Q941" s="814"/>
      <c r="R941" s="815"/>
      <c r="S941" s="814"/>
    </row>
    <row r="942" spans="1:31" s="972" customFormat="1" ht="29.25" x14ac:dyDescent="0.25">
      <c r="A942" s="767"/>
      <c r="B942" s="768"/>
      <c r="C942" s="820" t="s">
        <v>4376</v>
      </c>
      <c r="D942" s="770"/>
      <c r="E942" s="771"/>
      <c r="F942" s="772"/>
      <c r="G942" s="773" t="s">
        <v>5425</v>
      </c>
      <c r="H942" s="774"/>
      <c r="I942" s="774"/>
      <c r="J942" s="775"/>
      <c r="K942" s="774"/>
      <c r="L942" s="776"/>
      <c r="M942" s="776"/>
      <c r="N942" s="777"/>
      <c r="O942" s="776"/>
      <c r="P942" s="776"/>
      <c r="Q942" s="776"/>
      <c r="R942" s="777"/>
      <c r="S942" s="970"/>
      <c r="T942" s="971"/>
      <c r="V942" s="973"/>
      <c r="W942" s="973"/>
      <c r="X942" s="833"/>
      <c r="Y942" s="834"/>
      <c r="Z942" s="830"/>
      <c r="AA942" s="831"/>
      <c r="AB942" s="972">
        <f t="shared" ref="AB942:AB952" si="176">Z942-AA942</f>
        <v>0</v>
      </c>
    </row>
    <row r="943" spans="1:31" x14ac:dyDescent="0.25">
      <c r="C943" s="761"/>
      <c r="D943" s="778">
        <v>451</v>
      </c>
      <c r="E943" s="779"/>
      <c r="F943" s="778"/>
      <c r="G943" s="780" t="s">
        <v>154</v>
      </c>
      <c r="AB943" s="84">
        <f t="shared" si="176"/>
        <v>0</v>
      </c>
    </row>
    <row r="944" spans="1:31" ht="15.75" thickBot="1" x14ac:dyDescent="0.3">
      <c r="A944" s="84"/>
      <c r="B944" s="84"/>
      <c r="C944" s="84"/>
      <c r="D944" s="84"/>
      <c r="E944" s="760" t="s">
        <v>5229</v>
      </c>
      <c r="F944" s="782">
        <v>511</v>
      </c>
      <c r="G944" s="783" t="s">
        <v>4141</v>
      </c>
      <c r="H944" s="763">
        <v>3327481</v>
      </c>
      <c r="I944" s="763">
        <v>126615.97</v>
      </c>
      <c r="J944" s="764">
        <f>I944/H944</f>
        <v>3.8051598190943843E-2</v>
      </c>
      <c r="K944" s="763">
        <f>H944-I944</f>
        <v>3200865.03</v>
      </c>
      <c r="L944" s="765">
        <v>0</v>
      </c>
      <c r="M944" s="765">
        <v>0</v>
      </c>
      <c r="O944" s="765">
        <f>L944-M944</f>
        <v>0</v>
      </c>
      <c r="P944" s="765">
        <f>L944+H944</f>
        <v>3327481</v>
      </c>
      <c r="Q944" s="765">
        <f>I944+M944</f>
        <v>126615.97</v>
      </c>
      <c r="R944" s="766">
        <f>Q944/P944</f>
        <v>3.8051598190943843E-2</v>
      </c>
      <c r="S944" s="765">
        <f>P944-Q944</f>
        <v>3200865.03</v>
      </c>
      <c r="T944" s="84"/>
      <c r="Z944" s="830">
        <f>H944-X944+Y944</f>
        <v>3327481</v>
      </c>
      <c r="AA944" s="831">
        <v>126615.97</v>
      </c>
      <c r="AB944" s="84">
        <f t="shared" si="176"/>
        <v>3200865.03</v>
      </c>
      <c r="AE944" s="84">
        <f>H944-AA944</f>
        <v>3200865.03</v>
      </c>
    </row>
    <row r="945" spans="1:31" x14ac:dyDescent="0.25">
      <c r="A945" s="84"/>
      <c r="B945" s="84"/>
      <c r="C945" s="84"/>
      <c r="D945" s="84"/>
      <c r="E945" s="784"/>
      <c r="F945" s="785"/>
      <c r="G945" s="786" t="s">
        <v>5116</v>
      </c>
      <c r="H945" s="787"/>
      <c r="I945" s="787"/>
      <c r="J945" s="788"/>
      <c r="K945" s="787"/>
      <c r="L945" s="789"/>
      <c r="M945" s="789"/>
      <c r="N945" s="790"/>
      <c r="O945" s="789"/>
      <c r="P945" s="789"/>
      <c r="Q945" s="789"/>
      <c r="R945" s="790"/>
      <c r="S945" s="877"/>
      <c r="T945" s="84"/>
      <c r="AB945" s="84">
        <f t="shared" si="176"/>
        <v>0</v>
      </c>
    </row>
    <row r="946" spans="1:31" ht="15.75" thickBot="1" x14ac:dyDescent="0.3">
      <c r="A946" s="84"/>
      <c r="B946" s="84"/>
      <c r="C946" s="84"/>
      <c r="D946" s="84"/>
      <c r="E946" s="784"/>
      <c r="F946" s="792" t="s">
        <v>235</v>
      </c>
      <c r="G946" s="793" t="s">
        <v>236</v>
      </c>
      <c r="H946" s="794">
        <f>H944</f>
        <v>3327481</v>
      </c>
      <c r="I946" s="794">
        <f>SUM(I941:I944)</f>
        <v>126615.97</v>
      </c>
      <c r="J946" s="795">
        <f>I946/H946</f>
        <v>3.8051598190943843E-2</v>
      </c>
      <c r="K946" s="794">
        <f>SUM(K941:K944)</f>
        <v>3200865.03</v>
      </c>
      <c r="L946" s="796">
        <v>0</v>
      </c>
      <c r="M946" s="796">
        <v>0</v>
      </c>
      <c r="N946" s="797"/>
      <c r="O946" s="796">
        <f>L946-M946</f>
        <v>0</v>
      </c>
      <c r="P946" s="796">
        <f>L946+H946</f>
        <v>3327481</v>
      </c>
      <c r="Q946" s="824"/>
      <c r="R946" s="825"/>
      <c r="S946" s="880"/>
      <c r="T946" s="84"/>
    </row>
    <row r="947" spans="1:31" ht="15.75" hidden="1" thickBot="1" x14ac:dyDescent="0.3">
      <c r="A947" s="84"/>
      <c r="B947" s="84"/>
      <c r="C947" s="84"/>
      <c r="D947" s="84"/>
      <c r="E947" s="791"/>
      <c r="F947" s="792">
        <v>10</v>
      </c>
      <c r="G947" s="793" t="s">
        <v>13</v>
      </c>
      <c r="H947" s="794">
        <v>0</v>
      </c>
      <c r="I947" s="794">
        <f>SUM(I944:I944)</f>
        <v>126615.97</v>
      </c>
      <c r="J947" s="795" t="e">
        <f>I947/H947</f>
        <v>#DIV/0!</v>
      </c>
      <c r="K947" s="794">
        <f>SUM(K944:K944)</f>
        <v>3200865.03</v>
      </c>
      <c r="L947" s="796">
        <f>SUM(L944:L944)</f>
        <v>0</v>
      </c>
      <c r="M947" s="796">
        <f>SUM(M944:M944)</f>
        <v>0</v>
      </c>
      <c r="N947" s="797">
        <f>SUM(N943:N944)</f>
        <v>0</v>
      </c>
      <c r="O947" s="796">
        <f>SUM(O944:O944)</f>
        <v>0</v>
      </c>
      <c r="P947" s="796">
        <v>0</v>
      </c>
      <c r="Q947" s="796">
        <f>SUM(Q944:Q944)</f>
        <v>126615.97</v>
      </c>
      <c r="R947" s="797">
        <f>SUM(R943:R944)</f>
        <v>3.8051598190943843E-2</v>
      </c>
      <c r="S947" s="796">
        <f>SUM(S944:S944)</f>
        <v>3200865.03</v>
      </c>
      <c r="T947" s="84"/>
      <c r="AB947" s="84">
        <f t="shared" si="176"/>
        <v>0</v>
      </c>
    </row>
    <row r="948" spans="1:31" ht="15.75" thickBot="1" x14ac:dyDescent="0.3">
      <c r="A948" s="84"/>
      <c r="B948" s="84"/>
      <c r="C948" s="84"/>
      <c r="D948" s="84"/>
      <c r="G948" s="798" t="s">
        <v>5117</v>
      </c>
      <c r="H948" s="799">
        <f>H946</f>
        <v>3327481</v>
      </c>
      <c r="I948" s="799">
        <f t="shared" ref="I948:S948" si="177">I947</f>
        <v>126615.97</v>
      </c>
      <c r="J948" s="800" t="e">
        <f t="shared" si="177"/>
        <v>#DIV/0!</v>
      </c>
      <c r="K948" s="799">
        <f t="shared" si="177"/>
        <v>3200865.03</v>
      </c>
      <c r="L948" s="801">
        <f t="shared" si="177"/>
        <v>0</v>
      </c>
      <c r="M948" s="801">
        <f t="shared" si="177"/>
        <v>0</v>
      </c>
      <c r="N948" s="802">
        <f t="shared" si="177"/>
        <v>0</v>
      </c>
      <c r="O948" s="801">
        <f t="shared" si="177"/>
        <v>0</v>
      </c>
      <c r="P948" s="801">
        <f>SUM(P946:P947)</f>
        <v>3327481</v>
      </c>
      <c r="Q948" s="801">
        <f t="shared" si="177"/>
        <v>126615.97</v>
      </c>
      <c r="R948" s="802">
        <f t="shared" si="177"/>
        <v>3.8051598190943843E-2</v>
      </c>
      <c r="S948" s="801">
        <f t="shared" si="177"/>
        <v>3200865.03</v>
      </c>
      <c r="T948" s="84"/>
      <c r="AB948" s="84">
        <f t="shared" si="176"/>
        <v>0</v>
      </c>
    </row>
    <row r="949" spans="1:31" collapsed="1" x14ac:dyDescent="0.25">
      <c r="A949" s="84"/>
      <c r="B949" s="84"/>
      <c r="C949" s="84"/>
      <c r="D949" s="84"/>
      <c r="E949" s="784"/>
      <c r="F949" s="785"/>
      <c r="G949" s="803" t="s">
        <v>5426</v>
      </c>
      <c r="H949" s="804"/>
      <c r="I949" s="805"/>
      <c r="J949" s="806"/>
      <c r="K949" s="805"/>
      <c r="L949" s="807"/>
      <c r="M949" s="808"/>
      <c r="N949" s="809"/>
      <c r="O949" s="808"/>
      <c r="P949" s="808"/>
      <c r="Q949" s="808"/>
      <c r="R949" s="809"/>
      <c r="S949" s="878"/>
      <c r="T949" s="84"/>
      <c r="AB949" s="84">
        <f t="shared" si="176"/>
        <v>0</v>
      </c>
    </row>
    <row r="950" spans="1:31" ht="15.75" thickBot="1" x14ac:dyDescent="0.3">
      <c r="A950" s="84"/>
      <c r="B950" s="84"/>
      <c r="C950" s="84"/>
      <c r="D950" s="84"/>
      <c r="E950" s="784"/>
      <c r="F950" s="792" t="s">
        <v>235</v>
      </c>
      <c r="G950" s="793" t="s">
        <v>236</v>
      </c>
      <c r="H950" s="794">
        <f>H948</f>
        <v>3327481</v>
      </c>
      <c r="I950" s="794">
        <f>SUM(I945:I948)</f>
        <v>379847.91000000003</v>
      </c>
      <c r="J950" s="795">
        <f>I950/H950</f>
        <v>0.11415479457283154</v>
      </c>
      <c r="K950" s="794">
        <f>SUM(K945:K948)</f>
        <v>9602595.0899999999</v>
      </c>
      <c r="L950" s="796">
        <v>0</v>
      </c>
      <c r="M950" s="796">
        <v>0</v>
      </c>
      <c r="N950" s="797"/>
      <c r="O950" s="796">
        <f>L950-M950</f>
        <v>0</v>
      </c>
      <c r="P950" s="796">
        <f>L950+H950</f>
        <v>3327481</v>
      </c>
      <c r="Q950" s="824"/>
      <c r="R950" s="825"/>
      <c r="S950" s="880"/>
      <c r="T950" s="84"/>
    </row>
    <row r="951" spans="1:31" ht="15.75" hidden="1" thickBot="1" x14ac:dyDescent="0.3">
      <c r="A951" s="84"/>
      <c r="B951" s="84"/>
      <c r="C951" s="84"/>
      <c r="D951" s="84"/>
      <c r="E951" s="791"/>
      <c r="F951" s="792">
        <v>10</v>
      </c>
      <c r="G951" s="793" t="s">
        <v>13</v>
      </c>
      <c r="H951" s="794">
        <f>H947</f>
        <v>0</v>
      </c>
      <c r="I951" s="794">
        <f t="shared" ref="I951:S951" si="178">I947</f>
        <v>126615.97</v>
      </c>
      <c r="J951" s="795" t="e">
        <f t="shared" si="178"/>
        <v>#DIV/0!</v>
      </c>
      <c r="K951" s="794">
        <f t="shared" si="178"/>
        <v>3200865.03</v>
      </c>
      <c r="L951" s="796">
        <f t="shared" si="178"/>
        <v>0</v>
      </c>
      <c r="M951" s="796">
        <f t="shared" si="178"/>
        <v>0</v>
      </c>
      <c r="N951" s="797">
        <f t="shared" si="178"/>
        <v>0</v>
      </c>
      <c r="O951" s="796">
        <f t="shared" si="178"/>
        <v>0</v>
      </c>
      <c r="P951" s="796">
        <v>0</v>
      </c>
      <c r="Q951" s="796">
        <f t="shared" si="178"/>
        <v>126615.97</v>
      </c>
      <c r="R951" s="797">
        <f t="shared" si="178"/>
        <v>3.8051598190943843E-2</v>
      </c>
      <c r="S951" s="796">
        <f t="shared" si="178"/>
        <v>3200865.03</v>
      </c>
      <c r="T951" s="84"/>
      <c r="AB951" s="84">
        <f t="shared" si="176"/>
        <v>0</v>
      </c>
    </row>
    <row r="952" spans="1:31" ht="15.75" collapsed="1" thickBot="1" x14ac:dyDescent="0.3">
      <c r="G952" s="798" t="s">
        <v>5427</v>
      </c>
      <c r="H952" s="799">
        <f>H948</f>
        <v>3327481</v>
      </c>
      <c r="I952" s="799">
        <f t="shared" ref="I952:S952" si="179">I948</f>
        <v>126615.97</v>
      </c>
      <c r="J952" s="800" t="e">
        <f t="shared" si="179"/>
        <v>#DIV/0!</v>
      </c>
      <c r="K952" s="799">
        <f t="shared" si="179"/>
        <v>3200865.03</v>
      </c>
      <c r="L952" s="801">
        <f t="shared" si="179"/>
        <v>0</v>
      </c>
      <c r="M952" s="801">
        <f t="shared" si="179"/>
        <v>0</v>
      </c>
      <c r="N952" s="802">
        <f t="shared" si="179"/>
        <v>0</v>
      </c>
      <c r="O952" s="801">
        <f t="shared" si="179"/>
        <v>0</v>
      </c>
      <c r="P952" s="801">
        <f t="shared" si="179"/>
        <v>3327481</v>
      </c>
      <c r="Q952" s="801">
        <f t="shared" si="179"/>
        <v>126615.97</v>
      </c>
      <c r="R952" s="802">
        <f t="shared" si="179"/>
        <v>3.8051598190943843E-2</v>
      </c>
      <c r="S952" s="801">
        <f t="shared" si="179"/>
        <v>3200865.03</v>
      </c>
      <c r="AB952" s="84">
        <f t="shared" si="176"/>
        <v>0</v>
      </c>
    </row>
    <row r="953" spans="1:31" x14ac:dyDescent="0.25">
      <c r="G953" s="811"/>
      <c r="H953" s="812"/>
      <c r="I953" s="812"/>
      <c r="J953" s="813"/>
      <c r="K953" s="812"/>
      <c r="L953" s="814"/>
      <c r="M953" s="814"/>
      <c r="N953" s="815"/>
      <c r="O953" s="814"/>
      <c r="P953" s="814"/>
      <c r="Q953" s="814"/>
      <c r="R953" s="815"/>
      <c r="S953" s="814"/>
    </row>
    <row r="954" spans="1:31" s="972" customFormat="1" ht="29.25" x14ac:dyDescent="0.25">
      <c r="A954" s="767"/>
      <c r="B954" s="768"/>
      <c r="C954" s="820" t="s">
        <v>4377</v>
      </c>
      <c r="D954" s="770"/>
      <c r="E954" s="771"/>
      <c r="F954" s="772"/>
      <c r="G954" s="773" t="s">
        <v>5430</v>
      </c>
      <c r="H954" s="774"/>
      <c r="I954" s="774"/>
      <c r="J954" s="775"/>
      <c r="K954" s="774"/>
      <c r="L954" s="776"/>
      <c r="M954" s="776"/>
      <c r="N954" s="777"/>
      <c r="O954" s="776"/>
      <c r="P954" s="776"/>
      <c r="Q954" s="776"/>
      <c r="R954" s="777"/>
      <c r="S954" s="970"/>
      <c r="T954" s="971"/>
      <c r="V954" s="973"/>
      <c r="W954" s="973"/>
      <c r="X954" s="833"/>
      <c r="Y954" s="834"/>
      <c r="Z954" s="830"/>
      <c r="AA954" s="831"/>
      <c r="AB954" s="972">
        <f t="shared" ref="AB954:AB962" si="180">Z954-AA954</f>
        <v>0</v>
      </c>
    </row>
    <row r="955" spans="1:31" x14ac:dyDescent="0.25">
      <c r="C955" s="761"/>
      <c r="D955" s="778">
        <v>451</v>
      </c>
      <c r="E955" s="779"/>
      <c r="F955" s="778"/>
      <c r="G955" s="780" t="s">
        <v>154</v>
      </c>
      <c r="AB955" s="84">
        <f t="shared" si="180"/>
        <v>0</v>
      </c>
    </row>
    <row r="956" spans="1:31" ht="15.75" thickBot="1" x14ac:dyDescent="0.3">
      <c r="A956" s="84"/>
      <c r="B956" s="84"/>
      <c r="C956" s="84"/>
      <c r="D956" s="84"/>
      <c r="E956" s="760" t="s">
        <v>5230</v>
      </c>
      <c r="F956" s="782">
        <v>511</v>
      </c>
      <c r="G956" s="783" t="s">
        <v>4141</v>
      </c>
      <c r="H956" s="763">
        <v>0</v>
      </c>
      <c r="I956" s="763">
        <v>126615.97</v>
      </c>
      <c r="J956" s="764" t="e">
        <f>I956/H956</f>
        <v>#DIV/0!</v>
      </c>
      <c r="K956" s="763">
        <f>H956-I956</f>
        <v>-126615.97</v>
      </c>
      <c r="L956" s="765">
        <v>0</v>
      </c>
      <c r="M956" s="765">
        <v>0</v>
      </c>
      <c r="O956" s="765">
        <f>L956-M956</f>
        <v>0</v>
      </c>
      <c r="P956" s="765">
        <f>L956+H956</f>
        <v>0</v>
      </c>
      <c r="Q956" s="765">
        <f>I956+M956</f>
        <v>126615.97</v>
      </c>
      <c r="R956" s="766" t="e">
        <f>Q956/P956</f>
        <v>#DIV/0!</v>
      </c>
      <c r="S956" s="765">
        <f>P956-Q956</f>
        <v>-126615.97</v>
      </c>
      <c r="T956" s="84"/>
      <c r="Z956" s="830">
        <f>H956-X956+Y956</f>
        <v>0</v>
      </c>
      <c r="AA956" s="831">
        <v>126615.97</v>
      </c>
      <c r="AB956" s="84">
        <f t="shared" si="180"/>
        <v>-126615.97</v>
      </c>
      <c r="AE956" s="84">
        <f>H956-AA956</f>
        <v>-126615.97</v>
      </c>
    </row>
    <row r="957" spans="1:31" x14ac:dyDescent="0.25">
      <c r="A957" s="84"/>
      <c r="B957" s="84"/>
      <c r="C957" s="84"/>
      <c r="D957" s="84"/>
      <c r="E957" s="784"/>
      <c r="F957" s="785"/>
      <c r="G957" s="786" t="s">
        <v>5116</v>
      </c>
      <c r="H957" s="787"/>
      <c r="I957" s="787"/>
      <c r="J957" s="788"/>
      <c r="K957" s="787"/>
      <c r="L957" s="789"/>
      <c r="M957" s="789"/>
      <c r="N957" s="790"/>
      <c r="O957" s="789"/>
      <c r="P957" s="789"/>
      <c r="Q957" s="789"/>
      <c r="R957" s="790"/>
      <c r="S957" s="877"/>
      <c r="T957" s="84"/>
      <c r="AB957" s="84">
        <f t="shared" si="180"/>
        <v>0</v>
      </c>
    </row>
    <row r="958" spans="1:31" ht="15.75" thickBot="1" x14ac:dyDescent="0.3">
      <c r="A958" s="84"/>
      <c r="B958" s="84"/>
      <c r="C958" s="84"/>
      <c r="D958" s="84"/>
      <c r="E958" s="791"/>
      <c r="F958" s="792">
        <v>10</v>
      </c>
      <c r="G958" s="793" t="s">
        <v>13</v>
      </c>
      <c r="H958" s="794">
        <f>SUM(H956:H956)</f>
        <v>0</v>
      </c>
      <c r="I958" s="794">
        <f>SUM(I956:I956)</f>
        <v>126615.97</v>
      </c>
      <c r="J958" s="795" t="e">
        <f>I958/H958</f>
        <v>#DIV/0!</v>
      </c>
      <c r="K958" s="794">
        <f>SUM(K956:K956)</f>
        <v>-126615.97</v>
      </c>
      <c r="L958" s="796">
        <f>SUM(L956:L956)</f>
        <v>0</v>
      </c>
      <c r="M958" s="796">
        <f>SUM(M956:M956)</f>
        <v>0</v>
      </c>
      <c r="N958" s="797">
        <f>SUM(N955:N956)</f>
        <v>0</v>
      </c>
      <c r="O958" s="796">
        <f>SUM(O956:O956)</f>
        <v>0</v>
      </c>
      <c r="P958" s="796">
        <f>SUM(P956:P956)</f>
        <v>0</v>
      </c>
      <c r="Q958" s="796">
        <f>SUM(Q956:Q956)</f>
        <v>126615.97</v>
      </c>
      <c r="R958" s="797" t="e">
        <f>SUM(R955:R956)</f>
        <v>#DIV/0!</v>
      </c>
      <c r="S958" s="796">
        <f>SUM(S956:S956)</f>
        <v>-126615.97</v>
      </c>
      <c r="T958" s="84"/>
      <c r="AB958" s="84">
        <f t="shared" si="180"/>
        <v>0</v>
      </c>
    </row>
    <row r="959" spans="1:31" ht="15.75" thickBot="1" x14ac:dyDescent="0.3">
      <c r="A959" s="84"/>
      <c r="B959" s="84"/>
      <c r="C959" s="84"/>
      <c r="D959" s="84"/>
      <c r="G959" s="798" t="s">
        <v>5117</v>
      </c>
      <c r="H959" s="799">
        <f>H958</f>
        <v>0</v>
      </c>
      <c r="I959" s="799">
        <f t="shared" ref="I959:S959" si="181">I958</f>
        <v>126615.97</v>
      </c>
      <c r="J959" s="800" t="e">
        <f t="shared" si="181"/>
        <v>#DIV/0!</v>
      </c>
      <c r="K959" s="799">
        <f t="shared" si="181"/>
        <v>-126615.97</v>
      </c>
      <c r="L959" s="801">
        <f t="shared" si="181"/>
        <v>0</v>
      </c>
      <c r="M959" s="801">
        <f t="shared" si="181"/>
        <v>0</v>
      </c>
      <c r="N959" s="802">
        <f t="shared" si="181"/>
        <v>0</v>
      </c>
      <c r="O959" s="801">
        <f t="shared" si="181"/>
        <v>0</v>
      </c>
      <c r="P959" s="801">
        <f t="shared" si="181"/>
        <v>0</v>
      </c>
      <c r="Q959" s="801">
        <f t="shared" si="181"/>
        <v>126615.97</v>
      </c>
      <c r="R959" s="802" t="e">
        <f t="shared" si="181"/>
        <v>#DIV/0!</v>
      </c>
      <c r="S959" s="801">
        <f t="shared" si="181"/>
        <v>-126615.97</v>
      </c>
      <c r="T959" s="84"/>
      <c r="AB959" s="84">
        <f t="shared" si="180"/>
        <v>0</v>
      </c>
    </row>
    <row r="960" spans="1:31" collapsed="1" x14ac:dyDescent="0.25">
      <c r="A960" s="84"/>
      <c r="B960" s="84"/>
      <c r="C960" s="84"/>
      <c r="D960" s="84"/>
      <c r="E960" s="784"/>
      <c r="F960" s="785"/>
      <c r="G960" s="803" t="s">
        <v>5428</v>
      </c>
      <c r="H960" s="804"/>
      <c r="I960" s="805"/>
      <c r="J960" s="806"/>
      <c r="K960" s="805"/>
      <c r="L960" s="807"/>
      <c r="M960" s="808"/>
      <c r="N960" s="809"/>
      <c r="O960" s="808"/>
      <c r="P960" s="808"/>
      <c r="Q960" s="808"/>
      <c r="R960" s="809"/>
      <c r="S960" s="878"/>
      <c r="T960" s="84"/>
      <c r="AB960" s="84">
        <f t="shared" si="180"/>
        <v>0</v>
      </c>
    </row>
    <row r="961" spans="1:31" ht="15.75" thickBot="1" x14ac:dyDescent="0.3">
      <c r="A961" s="84"/>
      <c r="B961" s="84"/>
      <c r="C961" s="84"/>
      <c r="D961" s="84"/>
      <c r="E961" s="791"/>
      <c r="F961" s="792">
        <v>10</v>
      </c>
      <c r="G961" s="793" t="s">
        <v>13</v>
      </c>
      <c r="H961" s="794">
        <f>H958</f>
        <v>0</v>
      </c>
      <c r="I961" s="794">
        <f t="shared" ref="I961:S961" si="182">I958</f>
        <v>126615.97</v>
      </c>
      <c r="J961" s="795" t="e">
        <f t="shared" si="182"/>
        <v>#DIV/0!</v>
      </c>
      <c r="K961" s="794">
        <f t="shared" si="182"/>
        <v>-126615.97</v>
      </c>
      <c r="L961" s="796">
        <f t="shared" si="182"/>
        <v>0</v>
      </c>
      <c r="M961" s="796">
        <f t="shared" si="182"/>
        <v>0</v>
      </c>
      <c r="N961" s="797">
        <f t="shared" si="182"/>
        <v>0</v>
      </c>
      <c r="O961" s="796">
        <f t="shared" si="182"/>
        <v>0</v>
      </c>
      <c r="P961" s="796">
        <f t="shared" si="182"/>
        <v>0</v>
      </c>
      <c r="Q961" s="796">
        <f t="shared" si="182"/>
        <v>126615.97</v>
      </c>
      <c r="R961" s="797" t="e">
        <f t="shared" si="182"/>
        <v>#DIV/0!</v>
      </c>
      <c r="S961" s="796">
        <f t="shared" si="182"/>
        <v>-126615.97</v>
      </c>
      <c r="T961" s="84"/>
      <c r="AB961" s="84">
        <f t="shared" si="180"/>
        <v>0</v>
      </c>
    </row>
    <row r="962" spans="1:31" ht="15.75" collapsed="1" thickBot="1" x14ac:dyDescent="0.3">
      <c r="G962" s="798" t="s">
        <v>5429</v>
      </c>
      <c r="H962" s="799">
        <f>H959</f>
        <v>0</v>
      </c>
      <c r="I962" s="799">
        <f t="shared" ref="I962:S962" si="183">I959</f>
        <v>126615.97</v>
      </c>
      <c r="J962" s="800" t="e">
        <f t="shared" si="183"/>
        <v>#DIV/0!</v>
      </c>
      <c r="K962" s="799">
        <f t="shared" si="183"/>
        <v>-126615.97</v>
      </c>
      <c r="L962" s="801">
        <f t="shared" si="183"/>
        <v>0</v>
      </c>
      <c r="M962" s="801">
        <f t="shared" si="183"/>
        <v>0</v>
      </c>
      <c r="N962" s="802">
        <f t="shared" si="183"/>
        <v>0</v>
      </c>
      <c r="O962" s="801">
        <f t="shared" si="183"/>
        <v>0</v>
      </c>
      <c r="P962" s="801">
        <f t="shared" si="183"/>
        <v>0</v>
      </c>
      <c r="Q962" s="801">
        <f t="shared" si="183"/>
        <v>126615.97</v>
      </c>
      <c r="R962" s="802" t="e">
        <f t="shared" si="183"/>
        <v>#DIV/0!</v>
      </c>
      <c r="S962" s="801">
        <f t="shared" si="183"/>
        <v>-126615.97</v>
      </c>
      <c r="AB962" s="84">
        <f t="shared" si="180"/>
        <v>0</v>
      </c>
    </row>
    <row r="963" spans="1:31" x14ac:dyDescent="0.25">
      <c r="G963" s="811"/>
      <c r="H963" s="812"/>
      <c r="I963" s="812"/>
      <c r="J963" s="813"/>
      <c r="K963" s="812"/>
      <c r="L963" s="814"/>
      <c r="M963" s="814"/>
      <c r="N963" s="815"/>
      <c r="O963" s="814"/>
      <c r="P963" s="814"/>
      <c r="Q963" s="814"/>
      <c r="R963" s="815"/>
      <c r="S963" s="814"/>
    </row>
    <row r="964" spans="1:31" s="972" customFormat="1" ht="29.25" x14ac:dyDescent="0.25">
      <c r="A964" s="767"/>
      <c r="B964" s="768"/>
      <c r="C964" s="820" t="s">
        <v>4378</v>
      </c>
      <c r="D964" s="770"/>
      <c r="E964" s="771"/>
      <c r="F964" s="772"/>
      <c r="G964" s="773" t="s">
        <v>5433</v>
      </c>
      <c r="H964" s="774"/>
      <c r="I964" s="774"/>
      <c r="J964" s="775"/>
      <c r="K964" s="774"/>
      <c r="L964" s="776"/>
      <c r="M964" s="776"/>
      <c r="N964" s="777"/>
      <c r="O964" s="776"/>
      <c r="P964" s="776"/>
      <c r="Q964" s="776"/>
      <c r="R964" s="777"/>
      <c r="S964" s="970"/>
      <c r="T964" s="971"/>
      <c r="V964" s="973"/>
      <c r="W964" s="973"/>
      <c r="X964" s="833"/>
      <c r="Y964" s="834"/>
      <c r="Z964" s="830"/>
      <c r="AA964" s="831"/>
      <c r="AB964" s="972">
        <f t="shared" ref="AB964:AB972" si="184">Z964-AA964</f>
        <v>0</v>
      </c>
    </row>
    <row r="965" spans="1:31" x14ac:dyDescent="0.25">
      <c r="C965" s="761"/>
      <c r="D965" s="778">
        <v>451</v>
      </c>
      <c r="E965" s="779"/>
      <c r="F965" s="778"/>
      <c r="G965" s="780" t="s">
        <v>154</v>
      </c>
      <c r="AB965" s="84">
        <f t="shared" si="184"/>
        <v>0</v>
      </c>
    </row>
    <row r="966" spans="1:31" ht="15.75" thickBot="1" x14ac:dyDescent="0.3">
      <c r="A966" s="84"/>
      <c r="B966" s="84"/>
      <c r="C966" s="84"/>
      <c r="D966" s="84"/>
      <c r="E966" s="760" t="s">
        <v>5231</v>
      </c>
      <c r="F966" s="782">
        <v>511</v>
      </c>
      <c r="G966" s="783" t="s">
        <v>4141</v>
      </c>
      <c r="H966" s="763">
        <v>0</v>
      </c>
      <c r="I966" s="763">
        <v>126615.97</v>
      </c>
      <c r="J966" s="764" t="e">
        <f>I966/H966</f>
        <v>#DIV/0!</v>
      </c>
      <c r="K966" s="763">
        <f>H966-I966</f>
        <v>-126615.97</v>
      </c>
      <c r="L966" s="765">
        <v>5000000</v>
      </c>
      <c r="M966" s="765">
        <v>0</v>
      </c>
      <c r="O966" s="765">
        <f>L966-M966</f>
        <v>5000000</v>
      </c>
      <c r="P966" s="765">
        <f>L966+H966</f>
        <v>5000000</v>
      </c>
      <c r="Q966" s="765">
        <f>I966+M966</f>
        <v>126615.97</v>
      </c>
      <c r="R966" s="766">
        <f>Q966/P966</f>
        <v>2.5323194E-2</v>
      </c>
      <c r="S966" s="765">
        <f>P966-Q966</f>
        <v>4873384.03</v>
      </c>
      <c r="T966" s="84"/>
      <c r="Z966" s="830">
        <f>H966-X966+Y966</f>
        <v>0</v>
      </c>
      <c r="AA966" s="831">
        <v>126615.97</v>
      </c>
      <c r="AB966" s="84">
        <f t="shared" si="184"/>
        <v>-126615.97</v>
      </c>
      <c r="AE966" s="84">
        <f>H966-AA966</f>
        <v>-126615.97</v>
      </c>
    </row>
    <row r="967" spans="1:31" x14ac:dyDescent="0.25">
      <c r="A967" s="84"/>
      <c r="B967" s="84"/>
      <c r="C967" s="84"/>
      <c r="D967" s="84"/>
      <c r="E967" s="784"/>
      <c r="F967" s="785"/>
      <c r="G967" s="786" t="s">
        <v>5116</v>
      </c>
      <c r="H967" s="787"/>
      <c r="I967" s="787"/>
      <c r="J967" s="788"/>
      <c r="K967" s="787"/>
      <c r="L967" s="789"/>
      <c r="M967" s="789"/>
      <c r="N967" s="790"/>
      <c r="O967" s="789"/>
      <c r="P967" s="789"/>
      <c r="Q967" s="789"/>
      <c r="R967" s="790"/>
      <c r="S967" s="877"/>
      <c r="T967" s="84"/>
      <c r="AB967" s="84">
        <f t="shared" si="184"/>
        <v>0</v>
      </c>
    </row>
    <row r="968" spans="1:31" ht="15.75" thickBot="1" x14ac:dyDescent="0.3">
      <c r="A968" s="84"/>
      <c r="B968" s="84"/>
      <c r="C968" s="84"/>
      <c r="D968" s="84"/>
      <c r="E968" s="791"/>
      <c r="F968" s="792" t="s">
        <v>247</v>
      </c>
      <c r="G968" s="793" t="s">
        <v>4745</v>
      </c>
      <c r="H968" s="794">
        <f>SUM(H966:H966)</f>
        <v>0</v>
      </c>
      <c r="I968" s="794">
        <f>SUM(I966:I966)</f>
        <v>126615.97</v>
      </c>
      <c r="J968" s="795" t="e">
        <f>I968/H968</f>
        <v>#DIV/0!</v>
      </c>
      <c r="K968" s="794">
        <f>SUM(K966:K966)</f>
        <v>-126615.97</v>
      </c>
      <c r="L968" s="796">
        <f>SUM(L966:L966)</f>
        <v>5000000</v>
      </c>
      <c r="M968" s="796">
        <f>SUM(M966:M966)</f>
        <v>0</v>
      </c>
      <c r="N968" s="797">
        <f>SUM(N965:N966)</f>
        <v>0</v>
      </c>
      <c r="O968" s="796">
        <f>SUM(O966:O966)</f>
        <v>5000000</v>
      </c>
      <c r="P968" s="796">
        <f>SUM(P966:P966)</f>
        <v>5000000</v>
      </c>
      <c r="Q968" s="796">
        <f>SUM(Q966:Q966)</f>
        <v>126615.97</v>
      </c>
      <c r="R968" s="797">
        <f>SUM(R965:R966)</f>
        <v>2.5323194E-2</v>
      </c>
      <c r="S968" s="796">
        <f>SUM(S966:S966)</f>
        <v>4873384.03</v>
      </c>
      <c r="T968" s="84"/>
      <c r="AB968" s="84">
        <f t="shared" si="184"/>
        <v>0</v>
      </c>
    </row>
    <row r="969" spans="1:31" ht="15.75" thickBot="1" x14ac:dyDescent="0.3">
      <c r="A969" s="84"/>
      <c r="B969" s="84"/>
      <c r="C969" s="84"/>
      <c r="D969" s="84"/>
      <c r="G969" s="798" t="s">
        <v>5117</v>
      </c>
      <c r="H969" s="799">
        <f>H968</f>
        <v>0</v>
      </c>
      <c r="I969" s="799">
        <f t="shared" ref="I969:S969" si="185">I968</f>
        <v>126615.97</v>
      </c>
      <c r="J969" s="800" t="e">
        <f t="shared" si="185"/>
        <v>#DIV/0!</v>
      </c>
      <c r="K969" s="799">
        <f t="shared" si="185"/>
        <v>-126615.97</v>
      </c>
      <c r="L969" s="801">
        <f t="shared" si="185"/>
        <v>5000000</v>
      </c>
      <c r="M969" s="801">
        <f t="shared" si="185"/>
        <v>0</v>
      </c>
      <c r="N969" s="802">
        <f t="shared" si="185"/>
        <v>0</v>
      </c>
      <c r="O969" s="801">
        <f t="shared" si="185"/>
        <v>5000000</v>
      </c>
      <c r="P969" s="801">
        <f t="shared" si="185"/>
        <v>5000000</v>
      </c>
      <c r="Q969" s="801">
        <f t="shared" si="185"/>
        <v>126615.97</v>
      </c>
      <c r="R969" s="802">
        <f t="shared" si="185"/>
        <v>2.5323194E-2</v>
      </c>
      <c r="S969" s="801">
        <f t="shared" si="185"/>
        <v>4873384.03</v>
      </c>
      <c r="T969" s="84"/>
      <c r="AB969" s="84">
        <f t="shared" si="184"/>
        <v>0</v>
      </c>
    </row>
    <row r="970" spans="1:31" collapsed="1" x14ac:dyDescent="0.25">
      <c r="A970" s="84"/>
      <c r="B970" s="84"/>
      <c r="C970" s="84"/>
      <c r="D970" s="84"/>
      <c r="E970" s="784"/>
      <c r="F970" s="785"/>
      <c r="G970" s="803" t="s">
        <v>5431</v>
      </c>
      <c r="H970" s="804"/>
      <c r="I970" s="805"/>
      <c r="J970" s="806"/>
      <c r="K970" s="805"/>
      <c r="L970" s="807"/>
      <c r="M970" s="808"/>
      <c r="N970" s="809"/>
      <c r="O970" s="808"/>
      <c r="P970" s="808"/>
      <c r="Q970" s="808"/>
      <c r="R970" s="809"/>
      <c r="S970" s="878"/>
      <c r="T970" s="84"/>
      <c r="AB970" s="84">
        <f t="shared" si="184"/>
        <v>0</v>
      </c>
    </row>
    <row r="971" spans="1:31" ht="15.75" thickBot="1" x14ac:dyDescent="0.3">
      <c r="A971" s="84"/>
      <c r="B971" s="84"/>
      <c r="C971" s="84"/>
      <c r="D971" s="84"/>
      <c r="E971" s="791"/>
      <c r="F971" s="792" t="s">
        <v>247</v>
      </c>
      <c r="G971" s="793" t="s">
        <v>4745</v>
      </c>
      <c r="H971" s="794">
        <f>H968</f>
        <v>0</v>
      </c>
      <c r="I971" s="794">
        <f t="shared" ref="I971:S971" si="186">I968</f>
        <v>126615.97</v>
      </c>
      <c r="J971" s="795" t="e">
        <f t="shared" si="186"/>
        <v>#DIV/0!</v>
      </c>
      <c r="K971" s="794">
        <f t="shared" si="186"/>
        <v>-126615.97</v>
      </c>
      <c r="L971" s="796">
        <f t="shared" si="186"/>
        <v>5000000</v>
      </c>
      <c r="M971" s="796">
        <f t="shared" si="186"/>
        <v>0</v>
      </c>
      <c r="N971" s="797">
        <f t="shared" si="186"/>
        <v>0</v>
      </c>
      <c r="O971" s="796">
        <f t="shared" si="186"/>
        <v>5000000</v>
      </c>
      <c r="P971" s="796">
        <f t="shared" si="186"/>
        <v>5000000</v>
      </c>
      <c r="Q971" s="796">
        <f t="shared" si="186"/>
        <v>126615.97</v>
      </c>
      <c r="R971" s="797">
        <f t="shared" si="186"/>
        <v>2.5323194E-2</v>
      </c>
      <c r="S971" s="796">
        <f t="shared" si="186"/>
        <v>4873384.03</v>
      </c>
      <c r="T971" s="84"/>
      <c r="AB971" s="84">
        <f t="shared" si="184"/>
        <v>0</v>
      </c>
    </row>
    <row r="972" spans="1:31" ht="15.75" collapsed="1" thickBot="1" x14ac:dyDescent="0.3">
      <c r="G972" s="798" t="s">
        <v>5432</v>
      </c>
      <c r="H972" s="799">
        <f>H969</f>
        <v>0</v>
      </c>
      <c r="I972" s="799">
        <f t="shared" ref="I972:S972" si="187">I969</f>
        <v>126615.97</v>
      </c>
      <c r="J972" s="800" t="e">
        <f t="shared" si="187"/>
        <v>#DIV/0!</v>
      </c>
      <c r="K972" s="799">
        <f t="shared" si="187"/>
        <v>-126615.97</v>
      </c>
      <c r="L972" s="801">
        <f t="shared" si="187"/>
        <v>5000000</v>
      </c>
      <c r="M972" s="801">
        <f t="shared" si="187"/>
        <v>0</v>
      </c>
      <c r="N972" s="802">
        <f t="shared" si="187"/>
        <v>0</v>
      </c>
      <c r="O972" s="801">
        <f t="shared" si="187"/>
        <v>5000000</v>
      </c>
      <c r="P972" s="801">
        <f t="shared" si="187"/>
        <v>5000000</v>
      </c>
      <c r="Q972" s="801">
        <f t="shared" si="187"/>
        <v>126615.97</v>
      </c>
      <c r="R972" s="802">
        <f t="shared" si="187"/>
        <v>2.5323194E-2</v>
      </c>
      <c r="S972" s="801">
        <f t="shared" si="187"/>
        <v>4873384.03</v>
      </c>
      <c r="AB972" s="84">
        <f t="shared" si="184"/>
        <v>0</v>
      </c>
    </row>
    <row r="973" spans="1:31" x14ac:dyDescent="0.25">
      <c r="G973" s="811"/>
      <c r="H973" s="812"/>
      <c r="I973" s="812"/>
      <c r="J973" s="813"/>
      <c r="K973" s="812"/>
      <c r="L973" s="814"/>
      <c r="M973" s="814"/>
      <c r="N973" s="815"/>
      <c r="O973" s="814"/>
      <c r="P973" s="814"/>
      <c r="Q973" s="814"/>
      <c r="R973" s="815"/>
      <c r="S973" s="814"/>
    </row>
    <row r="974" spans="1:31" s="972" customFormat="1" ht="29.25" x14ac:dyDescent="0.25">
      <c r="A974" s="767"/>
      <c r="B974" s="768"/>
      <c r="C974" s="820" t="s">
        <v>4379</v>
      </c>
      <c r="D974" s="770"/>
      <c r="E974" s="771"/>
      <c r="F974" s="772"/>
      <c r="G974" s="773" t="s">
        <v>5434</v>
      </c>
      <c r="H974" s="774"/>
      <c r="I974" s="774"/>
      <c r="J974" s="775"/>
      <c r="K974" s="774"/>
      <c r="L974" s="776"/>
      <c r="M974" s="776"/>
      <c r="N974" s="777"/>
      <c r="O974" s="776"/>
      <c r="P974" s="776"/>
      <c r="Q974" s="776"/>
      <c r="R974" s="777"/>
      <c r="S974" s="970"/>
      <c r="T974" s="971"/>
      <c r="V974" s="973"/>
      <c r="W974" s="973"/>
      <c r="X974" s="833"/>
      <c r="Y974" s="834"/>
      <c r="Z974" s="830"/>
      <c r="AA974" s="831"/>
      <c r="AB974" s="972">
        <f t="shared" ref="AB974:AB982" si="188">Z974-AA974</f>
        <v>0</v>
      </c>
    </row>
    <row r="975" spans="1:31" x14ac:dyDescent="0.25">
      <c r="C975" s="761"/>
      <c r="D975" s="778">
        <v>451</v>
      </c>
      <c r="E975" s="779"/>
      <c r="F975" s="778"/>
      <c r="G975" s="780" t="s">
        <v>154</v>
      </c>
      <c r="AB975" s="84">
        <f t="shared" si="188"/>
        <v>0</v>
      </c>
    </row>
    <row r="976" spans="1:31" ht="15.75" thickBot="1" x14ac:dyDescent="0.3">
      <c r="A976" s="84"/>
      <c r="B976" s="84"/>
      <c r="C976" s="84"/>
      <c r="D976" s="84"/>
      <c r="E976" s="760" t="s">
        <v>5232</v>
      </c>
      <c r="F976" s="782">
        <v>511</v>
      </c>
      <c r="G976" s="783" t="s">
        <v>4141</v>
      </c>
      <c r="H976" s="763">
        <v>0</v>
      </c>
      <c r="I976" s="763">
        <v>126615.97</v>
      </c>
      <c r="J976" s="764" t="e">
        <f>I976/H976</f>
        <v>#DIV/0!</v>
      </c>
      <c r="K976" s="763">
        <f>H976-I976</f>
        <v>-126615.97</v>
      </c>
      <c r="L976" s="765">
        <v>5000000</v>
      </c>
      <c r="M976" s="765">
        <v>0</v>
      </c>
      <c r="O976" s="765">
        <f>L976-M976</f>
        <v>5000000</v>
      </c>
      <c r="P976" s="765">
        <f>L976+H976</f>
        <v>5000000</v>
      </c>
      <c r="Q976" s="765">
        <f>I976+M976</f>
        <v>126615.97</v>
      </c>
      <c r="R976" s="766">
        <f>Q976/P976</f>
        <v>2.5323194E-2</v>
      </c>
      <c r="S976" s="765">
        <f>P976-Q976</f>
        <v>4873384.03</v>
      </c>
      <c r="T976" s="84"/>
      <c r="Z976" s="830">
        <f>H976-X976+Y976</f>
        <v>0</v>
      </c>
      <c r="AA976" s="831">
        <v>126615.97</v>
      </c>
      <c r="AB976" s="84">
        <f t="shared" si="188"/>
        <v>-126615.97</v>
      </c>
      <c r="AE976" s="84">
        <f>H976-AA976</f>
        <v>-126615.97</v>
      </c>
    </row>
    <row r="977" spans="1:31" x14ac:dyDescent="0.25">
      <c r="A977" s="84"/>
      <c r="B977" s="84"/>
      <c r="C977" s="84"/>
      <c r="D977" s="84"/>
      <c r="E977" s="784"/>
      <c r="F977" s="785"/>
      <c r="G977" s="786" t="s">
        <v>5116</v>
      </c>
      <c r="H977" s="787"/>
      <c r="I977" s="787"/>
      <c r="J977" s="788"/>
      <c r="K977" s="787"/>
      <c r="L977" s="789"/>
      <c r="M977" s="789"/>
      <c r="N977" s="790"/>
      <c r="O977" s="789"/>
      <c r="P977" s="789"/>
      <c r="Q977" s="789"/>
      <c r="R977" s="790"/>
      <c r="S977" s="877"/>
      <c r="T977" s="84"/>
      <c r="AB977" s="84">
        <f t="shared" si="188"/>
        <v>0</v>
      </c>
    </row>
    <row r="978" spans="1:31" ht="15.75" thickBot="1" x14ac:dyDescent="0.3">
      <c r="A978" s="84"/>
      <c r="B978" s="84"/>
      <c r="C978" s="84"/>
      <c r="D978" s="84"/>
      <c r="E978" s="791"/>
      <c r="F978" s="792" t="s">
        <v>247</v>
      </c>
      <c r="G978" s="793" t="s">
        <v>4745</v>
      </c>
      <c r="H978" s="794">
        <f>SUM(H976:H976)</f>
        <v>0</v>
      </c>
      <c r="I978" s="794">
        <f>SUM(I976:I976)</f>
        <v>126615.97</v>
      </c>
      <c r="J978" s="795" t="e">
        <f>I978/H978</f>
        <v>#DIV/0!</v>
      </c>
      <c r="K978" s="794">
        <f>SUM(K976:K976)</f>
        <v>-126615.97</v>
      </c>
      <c r="L978" s="796">
        <f>SUM(L976:L976)</f>
        <v>5000000</v>
      </c>
      <c r="M978" s="796">
        <f>SUM(M976:M976)</f>
        <v>0</v>
      </c>
      <c r="N978" s="797">
        <f>SUM(N975:N976)</f>
        <v>0</v>
      </c>
      <c r="O978" s="796">
        <f>SUM(O976:O976)</f>
        <v>5000000</v>
      </c>
      <c r="P978" s="796">
        <f>SUM(P976:P976)</f>
        <v>5000000</v>
      </c>
      <c r="Q978" s="796">
        <f>SUM(Q976:Q976)</f>
        <v>126615.97</v>
      </c>
      <c r="R978" s="797">
        <f>SUM(R975:R976)</f>
        <v>2.5323194E-2</v>
      </c>
      <c r="S978" s="796">
        <f>SUM(S976:S976)</f>
        <v>4873384.03</v>
      </c>
      <c r="T978" s="84"/>
      <c r="AB978" s="84">
        <f t="shared" si="188"/>
        <v>0</v>
      </c>
    </row>
    <row r="979" spans="1:31" ht="15.75" thickBot="1" x14ac:dyDescent="0.3">
      <c r="A979" s="84"/>
      <c r="B979" s="84"/>
      <c r="C979" s="84"/>
      <c r="D979" s="84"/>
      <c r="G979" s="798" t="s">
        <v>5117</v>
      </c>
      <c r="H979" s="799">
        <f>H978</f>
        <v>0</v>
      </c>
      <c r="I979" s="799">
        <f t="shared" ref="I979:S979" si="189">I978</f>
        <v>126615.97</v>
      </c>
      <c r="J979" s="800" t="e">
        <f t="shared" si="189"/>
        <v>#DIV/0!</v>
      </c>
      <c r="K979" s="799">
        <f t="shared" si="189"/>
        <v>-126615.97</v>
      </c>
      <c r="L979" s="801">
        <f t="shared" si="189"/>
        <v>5000000</v>
      </c>
      <c r="M979" s="801">
        <f t="shared" si="189"/>
        <v>0</v>
      </c>
      <c r="N979" s="802">
        <f t="shared" si="189"/>
        <v>0</v>
      </c>
      <c r="O979" s="801">
        <f t="shared" si="189"/>
        <v>5000000</v>
      </c>
      <c r="P979" s="801">
        <f t="shared" si="189"/>
        <v>5000000</v>
      </c>
      <c r="Q979" s="801">
        <f t="shared" si="189"/>
        <v>126615.97</v>
      </c>
      <c r="R979" s="802">
        <f t="shared" si="189"/>
        <v>2.5323194E-2</v>
      </c>
      <c r="S979" s="801">
        <f t="shared" si="189"/>
        <v>4873384.03</v>
      </c>
      <c r="T979" s="84"/>
      <c r="AB979" s="84">
        <f t="shared" si="188"/>
        <v>0</v>
      </c>
    </row>
    <row r="980" spans="1:31" collapsed="1" x14ac:dyDescent="0.25">
      <c r="A980" s="84"/>
      <c r="B980" s="84"/>
      <c r="C980" s="84"/>
      <c r="D980" s="84"/>
      <c r="E980" s="784"/>
      <c r="F980" s="785"/>
      <c r="G980" s="803" t="s">
        <v>5435</v>
      </c>
      <c r="H980" s="804"/>
      <c r="I980" s="805"/>
      <c r="J980" s="806"/>
      <c r="K980" s="805"/>
      <c r="L980" s="807"/>
      <c r="M980" s="808"/>
      <c r="N980" s="809"/>
      <c r="O980" s="808"/>
      <c r="P980" s="808"/>
      <c r="Q980" s="808"/>
      <c r="R980" s="809"/>
      <c r="S980" s="878"/>
      <c r="T980" s="84"/>
      <c r="AB980" s="84">
        <f t="shared" si="188"/>
        <v>0</v>
      </c>
    </row>
    <row r="981" spans="1:31" ht="15.75" thickBot="1" x14ac:dyDescent="0.3">
      <c r="A981" s="84"/>
      <c r="B981" s="84"/>
      <c r="C981" s="84"/>
      <c r="D981" s="84"/>
      <c r="E981" s="791"/>
      <c r="F981" s="792" t="s">
        <v>247</v>
      </c>
      <c r="G981" s="793" t="s">
        <v>4745</v>
      </c>
      <c r="H981" s="794">
        <f>H978</f>
        <v>0</v>
      </c>
      <c r="I981" s="794">
        <f t="shared" ref="I981:S981" si="190">I978</f>
        <v>126615.97</v>
      </c>
      <c r="J981" s="795" t="e">
        <f t="shared" si="190"/>
        <v>#DIV/0!</v>
      </c>
      <c r="K981" s="794">
        <f t="shared" si="190"/>
        <v>-126615.97</v>
      </c>
      <c r="L981" s="796">
        <f t="shared" si="190"/>
        <v>5000000</v>
      </c>
      <c r="M981" s="796">
        <f t="shared" si="190"/>
        <v>0</v>
      </c>
      <c r="N981" s="797">
        <f t="shared" si="190"/>
        <v>0</v>
      </c>
      <c r="O981" s="796">
        <f t="shared" si="190"/>
        <v>5000000</v>
      </c>
      <c r="P981" s="796">
        <f t="shared" si="190"/>
        <v>5000000</v>
      </c>
      <c r="Q981" s="796">
        <f t="shared" si="190"/>
        <v>126615.97</v>
      </c>
      <c r="R981" s="797">
        <f t="shared" si="190"/>
        <v>2.5323194E-2</v>
      </c>
      <c r="S981" s="796">
        <f t="shared" si="190"/>
        <v>4873384.03</v>
      </c>
      <c r="T981" s="84"/>
      <c r="AB981" s="84">
        <f t="shared" si="188"/>
        <v>0</v>
      </c>
    </row>
    <row r="982" spans="1:31" ht="15.75" collapsed="1" thickBot="1" x14ac:dyDescent="0.3">
      <c r="G982" s="798" t="s">
        <v>5436</v>
      </c>
      <c r="H982" s="799">
        <f>H979</f>
        <v>0</v>
      </c>
      <c r="I982" s="799">
        <f t="shared" ref="I982:S982" si="191">I979</f>
        <v>126615.97</v>
      </c>
      <c r="J982" s="800" t="e">
        <f t="shared" si="191"/>
        <v>#DIV/0!</v>
      </c>
      <c r="K982" s="799">
        <f t="shared" si="191"/>
        <v>-126615.97</v>
      </c>
      <c r="L982" s="801">
        <f t="shared" si="191"/>
        <v>5000000</v>
      </c>
      <c r="M982" s="801">
        <f t="shared" si="191"/>
        <v>0</v>
      </c>
      <c r="N982" s="802">
        <f t="shared" si="191"/>
        <v>0</v>
      </c>
      <c r="O982" s="801">
        <f t="shared" si="191"/>
        <v>5000000</v>
      </c>
      <c r="P982" s="801">
        <f t="shared" si="191"/>
        <v>5000000</v>
      </c>
      <c r="Q982" s="801">
        <f t="shared" si="191"/>
        <v>126615.97</v>
      </c>
      <c r="R982" s="802">
        <f t="shared" si="191"/>
        <v>2.5323194E-2</v>
      </c>
      <c r="S982" s="801">
        <f t="shared" si="191"/>
        <v>4873384.03</v>
      </c>
      <c r="AB982" s="84">
        <f t="shared" si="188"/>
        <v>0</v>
      </c>
    </row>
    <row r="983" spans="1:31" x14ac:dyDescent="0.25">
      <c r="G983" s="811"/>
      <c r="H983" s="812"/>
      <c r="I983" s="812"/>
      <c r="J983" s="813"/>
      <c r="K983" s="812"/>
      <c r="L983" s="814"/>
      <c r="M983" s="814"/>
      <c r="N983" s="815"/>
      <c r="O983" s="814"/>
      <c r="P983" s="814"/>
      <c r="Q983" s="814"/>
      <c r="R983" s="815"/>
      <c r="S983" s="814"/>
    </row>
    <row r="984" spans="1:31" s="972" customFormat="1" ht="29.25" x14ac:dyDescent="0.25">
      <c r="A984" s="767"/>
      <c r="B984" s="768"/>
      <c r="C984" s="820" t="s">
        <v>4380</v>
      </c>
      <c r="D984" s="770"/>
      <c r="E984" s="771"/>
      <c r="F984" s="772"/>
      <c r="G984" s="773" t="s">
        <v>5494</v>
      </c>
      <c r="H984" s="774"/>
      <c r="I984" s="774"/>
      <c r="J984" s="775"/>
      <c r="K984" s="774"/>
      <c r="L984" s="776"/>
      <c r="M984" s="776"/>
      <c r="N984" s="777"/>
      <c r="O984" s="776"/>
      <c r="P984" s="776"/>
      <c r="Q984" s="776"/>
      <c r="R984" s="777"/>
      <c r="S984" s="970"/>
      <c r="T984" s="971"/>
      <c r="V984" s="973"/>
      <c r="W984" s="973"/>
      <c r="X984" s="833"/>
      <c r="Y984" s="834"/>
      <c r="Z984" s="830"/>
      <c r="AA984" s="831"/>
      <c r="AB984" s="972">
        <f t="shared" ref="AB984:AB987" si="192">Z984-AA984</f>
        <v>0</v>
      </c>
    </row>
    <row r="985" spans="1:31" x14ac:dyDescent="0.25">
      <c r="C985" s="761"/>
      <c r="D985" s="778">
        <v>451</v>
      </c>
      <c r="E985" s="779"/>
      <c r="F985" s="778"/>
      <c r="G985" s="780" t="s">
        <v>154</v>
      </c>
      <c r="AB985" s="84">
        <f t="shared" si="192"/>
        <v>0</v>
      </c>
    </row>
    <row r="986" spans="1:31" ht="15.75" thickBot="1" x14ac:dyDescent="0.3">
      <c r="A986" s="84"/>
      <c r="B986" s="84"/>
      <c r="C986" s="84"/>
      <c r="D986" s="84"/>
      <c r="E986" s="760" t="s">
        <v>5495</v>
      </c>
      <c r="F986" s="782">
        <v>511</v>
      </c>
      <c r="G986" s="783" t="s">
        <v>4141</v>
      </c>
      <c r="H986" s="763">
        <v>2772902</v>
      </c>
      <c r="I986" s="763">
        <v>126615.97</v>
      </c>
      <c r="J986" s="764">
        <f>I986/H986</f>
        <v>4.5661898617405161E-2</v>
      </c>
      <c r="K986" s="763">
        <f>H986-I986</f>
        <v>2646286.0299999998</v>
      </c>
      <c r="L986" s="765">
        <v>0</v>
      </c>
      <c r="M986" s="765">
        <v>0</v>
      </c>
      <c r="O986" s="765">
        <f>L986-M986</f>
        <v>0</v>
      </c>
      <c r="P986" s="765">
        <f>L986+H986</f>
        <v>2772902</v>
      </c>
      <c r="Q986" s="765">
        <f>I986+M986</f>
        <v>126615.97</v>
      </c>
      <c r="R986" s="766">
        <f>Q986/P986</f>
        <v>4.5661898617405161E-2</v>
      </c>
      <c r="S986" s="765">
        <f>P986-Q986</f>
        <v>2646286.0299999998</v>
      </c>
      <c r="T986" s="84"/>
      <c r="Z986" s="830">
        <f>H986-X986+Y986</f>
        <v>2772902</v>
      </c>
      <c r="AA986" s="831">
        <v>126615.97</v>
      </c>
      <c r="AB986" s="84">
        <f t="shared" si="192"/>
        <v>2646286.0299999998</v>
      </c>
      <c r="AE986" s="84">
        <f>H986-AA986</f>
        <v>2646286.0299999998</v>
      </c>
    </row>
    <row r="987" spans="1:31" x14ac:dyDescent="0.25">
      <c r="A987" s="84"/>
      <c r="B987" s="84"/>
      <c r="C987" s="84"/>
      <c r="D987" s="84"/>
      <c r="E987" s="784"/>
      <c r="F987" s="785"/>
      <c r="G987" s="786" t="s">
        <v>5116</v>
      </c>
      <c r="H987" s="787"/>
      <c r="I987" s="787"/>
      <c r="J987" s="788"/>
      <c r="K987" s="787"/>
      <c r="L987" s="789"/>
      <c r="M987" s="789"/>
      <c r="N987" s="790"/>
      <c r="O987" s="789"/>
      <c r="P987" s="789"/>
      <c r="Q987" s="789"/>
      <c r="R987" s="790"/>
      <c r="S987" s="877"/>
      <c r="T987" s="84"/>
      <c r="AB987" s="84">
        <f t="shared" si="192"/>
        <v>0</v>
      </c>
    </row>
    <row r="988" spans="1:31" ht="15.75" thickBot="1" x14ac:dyDescent="0.3">
      <c r="A988" s="84"/>
      <c r="B988" s="84"/>
      <c r="C988" s="84"/>
      <c r="D988" s="84"/>
      <c r="E988" s="784"/>
      <c r="F988" s="792" t="s">
        <v>235</v>
      </c>
      <c r="G988" s="793" t="s">
        <v>236</v>
      </c>
      <c r="H988" s="794">
        <f>H986</f>
        <v>2772902</v>
      </c>
      <c r="I988" s="794">
        <f>SUM(I983:I986)</f>
        <v>126615.97</v>
      </c>
      <c r="J988" s="795">
        <f>I988/H988</f>
        <v>4.5661898617405161E-2</v>
      </c>
      <c r="K988" s="794">
        <f>SUM(K983:K986)</f>
        <v>2646286.0299999998</v>
      </c>
      <c r="L988" s="796">
        <v>0</v>
      </c>
      <c r="M988" s="796">
        <v>0</v>
      </c>
      <c r="N988" s="797"/>
      <c r="O988" s="796">
        <f>L988-M988</f>
        <v>0</v>
      </c>
      <c r="P988" s="796">
        <f>L988+H988</f>
        <v>2772902</v>
      </c>
      <c r="Q988" s="824"/>
      <c r="R988" s="825"/>
      <c r="S988" s="880"/>
      <c r="T988" s="84"/>
    </row>
    <row r="989" spans="1:31" ht="15.75" thickBot="1" x14ac:dyDescent="0.3">
      <c r="A989" s="84"/>
      <c r="B989" s="84"/>
      <c r="C989" s="84"/>
      <c r="D989" s="84"/>
      <c r="G989" s="798" t="s">
        <v>5117</v>
      </c>
      <c r="H989" s="799">
        <f>H988</f>
        <v>2772902</v>
      </c>
      <c r="I989" s="799" t="e">
        <f>#REF!</f>
        <v>#REF!</v>
      </c>
      <c r="J989" s="800" t="e">
        <f>#REF!</f>
        <v>#REF!</v>
      </c>
      <c r="K989" s="799" t="e">
        <f>#REF!</f>
        <v>#REF!</v>
      </c>
      <c r="L989" s="801">
        <v>0</v>
      </c>
      <c r="M989" s="801" t="e">
        <f>#REF!</f>
        <v>#REF!</v>
      </c>
      <c r="N989" s="802" t="e">
        <f>#REF!</f>
        <v>#REF!</v>
      </c>
      <c r="O989" s="801" t="e">
        <f>#REF!</f>
        <v>#REF!</v>
      </c>
      <c r="P989" s="801">
        <f>SUM(P988:P988)</f>
        <v>2772902</v>
      </c>
      <c r="Q989" s="801" t="e">
        <f>#REF!</f>
        <v>#REF!</v>
      </c>
      <c r="R989" s="802" t="e">
        <f>#REF!</f>
        <v>#REF!</v>
      </c>
      <c r="S989" s="801" t="e">
        <f>#REF!</f>
        <v>#REF!</v>
      </c>
      <c r="T989" s="84"/>
      <c r="AB989" s="84">
        <f t="shared" ref="AB989:AB990" si="193">Z989-AA989</f>
        <v>0</v>
      </c>
    </row>
    <row r="990" spans="1:31" collapsed="1" x14ac:dyDescent="0.25">
      <c r="A990" s="84"/>
      <c r="B990" s="84"/>
      <c r="C990" s="84"/>
      <c r="D990" s="84"/>
      <c r="E990" s="784"/>
      <c r="F990" s="785"/>
      <c r="G990" s="803" t="s">
        <v>5491</v>
      </c>
      <c r="H990" s="804"/>
      <c r="I990" s="805"/>
      <c r="J990" s="806"/>
      <c r="K990" s="805"/>
      <c r="L990" s="807"/>
      <c r="M990" s="808"/>
      <c r="N990" s="809"/>
      <c r="O990" s="808"/>
      <c r="P990" s="808"/>
      <c r="Q990" s="808"/>
      <c r="R990" s="809"/>
      <c r="S990" s="878"/>
      <c r="T990" s="84"/>
      <c r="AB990" s="84">
        <f t="shared" si="193"/>
        <v>0</v>
      </c>
    </row>
    <row r="991" spans="1:31" ht="15.75" thickBot="1" x14ac:dyDescent="0.3">
      <c r="A991" s="84"/>
      <c r="B991" s="84"/>
      <c r="C991" s="84"/>
      <c r="D991" s="84"/>
      <c r="E991" s="784"/>
      <c r="F991" s="792" t="s">
        <v>235</v>
      </c>
      <c r="G991" s="793" t="s">
        <v>236</v>
      </c>
      <c r="H991" s="794">
        <f>H989</f>
        <v>2772902</v>
      </c>
      <c r="I991" s="794" t="e">
        <f>SUM(I987:I989)</f>
        <v>#REF!</v>
      </c>
      <c r="J991" s="795" t="e">
        <f>I991/H991</f>
        <v>#REF!</v>
      </c>
      <c r="K991" s="794" t="e">
        <f>SUM(K987:K989)</f>
        <v>#REF!</v>
      </c>
      <c r="L991" s="796">
        <v>0</v>
      </c>
      <c r="M991" s="796">
        <v>0</v>
      </c>
      <c r="N991" s="797"/>
      <c r="O991" s="796">
        <f>L991-M991</f>
        <v>0</v>
      </c>
      <c r="P991" s="796">
        <f>L991+H991</f>
        <v>2772902</v>
      </c>
      <c r="Q991" s="824"/>
      <c r="R991" s="825"/>
      <c r="S991" s="880"/>
      <c r="T991" s="84"/>
    </row>
    <row r="992" spans="1:31" ht="15.75" collapsed="1" thickBot="1" x14ac:dyDescent="0.3">
      <c r="G992" s="798" t="s">
        <v>5492</v>
      </c>
      <c r="H992" s="799">
        <f>H989</f>
        <v>2772902</v>
      </c>
      <c r="I992" s="799" t="e">
        <f t="shared" ref="I992:S992" si="194">I989</f>
        <v>#REF!</v>
      </c>
      <c r="J992" s="800" t="e">
        <f t="shared" si="194"/>
        <v>#REF!</v>
      </c>
      <c r="K992" s="799" t="e">
        <f t="shared" si="194"/>
        <v>#REF!</v>
      </c>
      <c r="L992" s="801">
        <f t="shared" si="194"/>
        <v>0</v>
      </c>
      <c r="M992" s="801" t="e">
        <f t="shared" si="194"/>
        <v>#REF!</v>
      </c>
      <c r="N992" s="802" t="e">
        <f t="shared" si="194"/>
        <v>#REF!</v>
      </c>
      <c r="O992" s="801" t="e">
        <f t="shared" si="194"/>
        <v>#REF!</v>
      </c>
      <c r="P992" s="801">
        <f t="shared" si="194"/>
        <v>2772902</v>
      </c>
      <c r="Q992" s="801" t="e">
        <f t="shared" si="194"/>
        <v>#REF!</v>
      </c>
      <c r="R992" s="802" t="e">
        <f t="shared" si="194"/>
        <v>#REF!</v>
      </c>
      <c r="S992" s="801" t="e">
        <f t="shared" si="194"/>
        <v>#REF!</v>
      </c>
      <c r="AB992" s="84">
        <f t="shared" ref="AB992" si="195">Z992-AA992</f>
        <v>0</v>
      </c>
    </row>
    <row r="993" spans="1:31" x14ac:dyDescent="0.25">
      <c r="G993" s="811"/>
      <c r="H993" s="812"/>
      <c r="I993" s="812"/>
      <c r="J993" s="813"/>
      <c r="K993" s="812"/>
      <c r="L993" s="814"/>
      <c r="M993" s="814"/>
      <c r="N993" s="815"/>
      <c r="O993" s="814"/>
      <c r="P993" s="814"/>
      <c r="Q993" s="814"/>
      <c r="R993" s="815"/>
      <c r="S993" s="814"/>
    </row>
    <row r="994" spans="1:31" s="972" customFormat="1" ht="29.25" x14ac:dyDescent="0.25">
      <c r="A994" s="767"/>
      <c r="B994" s="768"/>
      <c r="C994" s="820" t="s">
        <v>4381</v>
      </c>
      <c r="D994" s="770"/>
      <c r="E994" s="771"/>
      <c r="F994" s="772"/>
      <c r="G994" s="773" t="s">
        <v>5499</v>
      </c>
      <c r="H994" s="774"/>
      <c r="I994" s="774"/>
      <c r="J994" s="775"/>
      <c r="K994" s="774"/>
      <c r="L994" s="776"/>
      <c r="M994" s="776"/>
      <c r="N994" s="777"/>
      <c r="O994" s="776"/>
      <c r="P994" s="776"/>
      <c r="Q994" s="776"/>
      <c r="R994" s="777"/>
      <c r="S994" s="970"/>
      <c r="T994" s="971"/>
      <c r="V994" s="973"/>
      <c r="W994" s="973"/>
      <c r="X994" s="833"/>
      <c r="Y994" s="834"/>
      <c r="Z994" s="830"/>
      <c r="AA994" s="831"/>
      <c r="AB994" s="972">
        <f t="shared" ref="AB994:AB997" si="196">Z994-AA994</f>
        <v>0</v>
      </c>
    </row>
    <row r="995" spans="1:31" x14ac:dyDescent="0.25">
      <c r="C995" s="761"/>
      <c r="D995" s="778">
        <v>451</v>
      </c>
      <c r="E995" s="779"/>
      <c r="F995" s="778"/>
      <c r="G995" s="780" t="s">
        <v>154</v>
      </c>
      <c r="AB995" s="84">
        <f t="shared" si="196"/>
        <v>0</v>
      </c>
    </row>
    <row r="996" spans="1:31" ht="15.75" thickBot="1" x14ac:dyDescent="0.3">
      <c r="A996" s="84"/>
      <c r="B996" s="84"/>
      <c r="C996" s="84"/>
      <c r="D996" s="84"/>
      <c r="E996" s="760" t="s">
        <v>5496</v>
      </c>
      <c r="F996" s="782">
        <v>511</v>
      </c>
      <c r="G996" s="783" t="s">
        <v>4141</v>
      </c>
      <c r="H996" s="763">
        <v>475353</v>
      </c>
      <c r="I996" s="763">
        <v>126615.97</v>
      </c>
      <c r="J996" s="764">
        <f>I996/H996</f>
        <v>0.26636198782799309</v>
      </c>
      <c r="K996" s="763">
        <f>H996-I996</f>
        <v>348737.03</v>
      </c>
      <c r="L996" s="765">
        <v>0</v>
      </c>
      <c r="M996" s="765">
        <v>0</v>
      </c>
      <c r="O996" s="765">
        <f>L996-M996</f>
        <v>0</v>
      </c>
      <c r="P996" s="765">
        <f>L996+H996</f>
        <v>475353</v>
      </c>
      <c r="Q996" s="765">
        <f>I996+M996</f>
        <v>126615.97</v>
      </c>
      <c r="R996" s="766">
        <f>Q996/P996</f>
        <v>0.26636198782799309</v>
      </c>
      <c r="S996" s="765">
        <f>P996-Q996</f>
        <v>348737.03</v>
      </c>
      <c r="T996" s="84"/>
      <c r="Z996" s="830">
        <f>H996-X996+Y996</f>
        <v>475353</v>
      </c>
      <c r="AA996" s="831">
        <v>126615.97</v>
      </c>
      <c r="AB996" s="84">
        <f t="shared" si="196"/>
        <v>348737.03</v>
      </c>
      <c r="AE996" s="84">
        <f>H996-AA996</f>
        <v>348737.03</v>
      </c>
    </row>
    <row r="997" spans="1:31" x14ac:dyDescent="0.25">
      <c r="A997" s="84"/>
      <c r="B997" s="84"/>
      <c r="C997" s="84"/>
      <c r="D997" s="84"/>
      <c r="E997" s="784"/>
      <c r="F997" s="785"/>
      <c r="G997" s="786" t="s">
        <v>5116</v>
      </c>
      <c r="H997" s="787"/>
      <c r="I997" s="787"/>
      <c r="J997" s="788"/>
      <c r="K997" s="787"/>
      <c r="L997" s="789"/>
      <c r="M997" s="789"/>
      <c r="N997" s="790"/>
      <c r="O997" s="789"/>
      <c r="P997" s="789"/>
      <c r="Q997" s="789"/>
      <c r="R997" s="790"/>
      <c r="S997" s="877"/>
      <c r="T997" s="84"/>
      <c r="AB997" s="84">
        <f t="shared" si="196"/>
        <v>0</v>
      </c>
    </row>
    <row r="998" spans="1:31" ht="15.75" thickBot="1" x14ac:dyDescent="0.3">
      <c r="A998" s="84"/>
      <c r="B998" s="84"/>
      <c r="C998" s="84"/>
      <c r="D998" s="84"/>
      <c r="E998" s="784"/>
      <c r="F998" s="792" t="s">
        <v>235</v>
      </c>
      <c r="G998" s="793" t="s">
        <v>236</v>
      </c>
      <c r="H998" s="794">
        <f>H996</f>
        <v>475353</v>
      </c>
      <c r="I998" s="794">
        <f>SUM(I993:I996)</f>
        <v>126615.97</v>
      </c>
      <c r="J998" s="795">
        <f>I998/H998</f>
        <v>0.26636198782799309</v>
      </c>
      <c r="K998" s="794">
        <f>SUM(K993:K996)</f>
        <v>348737.03</v>
      </c>
      <c r="L998" s="796">
        <v>0</v>
      </c>
      <c r="M998" s="796">
        <v>0</v>
      </c>
      <c r="N998" s="797"/>
      <c r="O998" s="796">
        <f>L998-M998</f>
        <v>0</v>
      </c>
      <c r="P998" s="796">
        <f>L998+H998</f>
        <v>475353</v>
      </c>
      <c r="Q998" s="824"/>
      <c r="R998" s="825"/>
      <c r="S998" s="880"/>
      <c r="T998" s="84"/>
    </row>
    <row r="999" spans="1:31" ht="15.75" thickBot="1" x14ac:dyDescent="0.3">
      <c r="A999" s="84"/>
      <c r="B999" s="84"/>
      <c r="C999" s="84"/>
      <c r="D999" s="84"/>
      <c r="G999" s="798" t="s">
        <v>5117</v>
      </c>
      <c r="H999" s="799">
        <f>H998</f>
        <v>475353</v>
      </c>
      <c r="I999" s="799" t="e">
        <f>#REF!</f>
        <v>#REF!</v>
      </c>
      <c r="J999" s="800" t="e">
        <f>#REF!</f>
        <v>#REF!</v>
      </c>
      <c r="K999" s="799" t="e">
        <f>#REF!</f>
        <v>#REF!</v>
      </c>
      <c r="L999" s="801">
        <v>0</v>
      </c>
      <c r="M999" s="801" t="e">
        <f>#REF!</f>
        <v>#REF!</v>
      </c>
      <c r="N999" s="802" t="e">
        <f>#REF!</f>
        <v>#REF!</v>
      </c>
      <c r="O999" s="801" t="e">
        <f>#REF!</f>
        <v>#REF!</v>
      </c>
      <c r="P999" s="801">
        <f>SUM(P998:P998)</f>
        <v>475353</v>
      </c>
      <c r="Q999" s="801" t="e">
        <f>#REF!</f>
        <v>#REF!</v>
      </c>
      <c r="R999" s="802" t="e">
        <f>#REF!</f>
        <v>#REF!</v>
      </c>
      <c r="S999" s="801" t="e">
        <f>#REF!</f>
        <v>#REF!</v>
      </c>
      <c r="T999" s="84"/>
      <c r="AB999" s="84">
        <f t="shared" ref="AB999:AB1000" si="197">Z999-AA999</f>
        <v>0</v>
      </c>
    </row>
    <row r="1000" spans="1:31" collapsed="1" x14ac:dyDescent="0.25">
      <c r="A1000" s="84"/>
      <c r="B1000" s="84"/>
      <c r="C1000" s="84"/>
      <c r="D1000" s="84"/>
      <c r="E1000" s="784"/>
      <c r="F1000" s="785"/>
      <c r="G1000" s="803" t="s">
        <v>5497</v>
      </c>
      <c r="H1000" s="804"/>
      <c r="I1000" s="805"/>
      <c r="J1000" s="806"/>
      <c r="K1000" s="805"/>
      <c r="L1000" s="807"/>
      <c r="M1000" s="808"/>
      <c r="N1000" s="809"/>
      <c r="O1000" s="808"/>
      <c r="P1000" s="808"/>
      <c r="Q1000" s="808"/>
      <c r="R1000" s="809"/>
      <c r="S1000" s="878"/>
      <c r="T1000" s="84"/>
      <c r="AB1000" s="84">
        <f t="shared" si="197"/>
        <v>0</v>
      </c>
    </row>
    <row r="1001" spans="1:31" ht="15.75" thickBot="1" x14ac:dyDescent="0.3">
      <c r="A1001" s="84"/>
      <c r="B1001" s="84"/>
      <c r="C1001" s="84"/>
      <c r="D1001" s="84"/>
      <c r="E1001" s="784"/>
      <c r="F1001" s="792" t="s">
        <v>235</v>
      </c>
      <c r="G1001" s="793" t="s">
        <v>236</v>
      </c>
      <c r="H1001" s="794">
        <f>H999</f>
        <v>475353</v>
      </c>
      <c r="I1001" s="794" t="e">
        <f>SUM(I997:I999)</f>
        <v>#REF!</v>
      </c>
      <c r="J1001" s="795" t="e">
        <f>I1001/H1001</f>
        <v>#REF!</v>
      </c>
      <c r="K1001" s="794" t="e">
        <f>SUM(K997:K999)</f>
        <v>#REF!</v>
      </c>
      <c r="L1001" s="796">
        <v>0</v>
      </c>
      <c r="M1001" s="796">
        <v>0</v>
      </c>
      <c r="N1001" s="797"/>
      <c r="O1001" s="796">
        <f>L1001-M1001</f>
        <v>0</v>
      </c>
      <c r="P1001" s="796">
        <f>L1001+H1001</f>
        <v>475353</v>
      </c>
      <c r="Q1001" s="824"/>
      <c r="R1001" s="825"/>
      <c r="S1001" s="880"/>
      <c r="T1001" s="84"/>
    </row>
    <row r="1002" spans="1:31" ht="15.75" collapsed="1" thickBot="1" x14ac:dyDescent="0.3">
      <c r="G1002" s="798" t="s">
        <v>5498</v>
      </c>
      <c r="H1002" s="799">
        <f>H999</f>
        <v>475353</v>
      </c>
      <c r="I1002" s="799" t="e">
        <f t="shared" ref="I1002:S1002" si="198">I999</f>
        <v>#REF!</v>
      </c>
      <c r="J1002" s="800" t="e">
        <f t="shared" si="198"/>
        <v>#REF!</v>
      </c>
      <c r="K1002" s="799" t="e">
        <f t="shared" si="198"/>
        <v>#REF!</v>
      </c>
      <c r="L1002" s="801">
        <f t="shared" si="198"/>
        <v>0</v>
      </c>
      <c r="M1002" s="801" t="e">
        <f t="shared" si="198"/>
        <v>#REF!</v>
      </c>
      <c r="N1002" s="802" t="e">
        <f t="shared" si="198"/>
        <v>#REF!</v>
      </c>
      <c r="O1002" s="801" t="e">
        <f t="shared" si="198"/>
        <v>#REF!</v>
      </c>
      <c r="P1002" s="801">
        <f t="shared" si="198"/>
        <v>475353</v>
      </c>
      <c r="Q1002" s="801" t="e">
        <f t="shared" si="198"/>
        <v>#REF!</v>
      </c>
      <c r="R1002" s="802" t="e">
        <f t="shared" si="198"/>
        <v>#REF!</v>
      </c>
      <c r="S1002" s="801" t="e">
        <f t="shared" si="198"/>
        <v>#REF!</v>
      </c>
      <c r="AB1002" s="84">
        <f t="shared" ref="AB1002" si="199">Z1002-AA1002</f>
        <v>0</v>
      </c>
    </row>
    <row r="1003" spans="1:31" x14ac:dyDescent="0.25">
      <c r="G1003" s="811"/>
      <c r="H1003" s="812"/>
      <c r="I1003" s="812"/>
      <c r="J1003" s="813"/>
      <c r="K1003" s="812"/>
      <c r="L1003" s="814"/>
      <c r="M1003" s="814"/>
      <c r="N1003" s="815"/>
      <c r="O1003" s="814"/>
      <c r="P1003" s="814"/>
      <c r="Q1003" s="814"/>
      <c r="R1003" s="815"/>
      <c r="S1003" s="814"/>
    </row>
    <row r="1004" spans="1:31" x14ac:dyDescent="0.25">
      <c r="E1004" s="784"/>
      <c r="F1004" s="785"/>
      <c r="G1004" s="821" t="s">
        <v>4163</v>
      </c>
      <c r="H1004" s="822"/>
      <c r="I1004" s="822"/>
      <c r="J1004" s="823"/>
      <c r="K1004" s="822"/>
      <c r="L1004" s="824"/>
      <c r="M1004" s="824"/>
      <c r="N1004" s="825"/>
      <c r="O1004" s="824"/>
      <c r="P1004" s="824"/>
      <c r="Q1004" s="824"/>
      <c r="R1004" s="825"/>
      <c r="S1004" s="880"/>
      <c r="AB1004" s="84">
        <f t="shared" si="149"/>
        <v>0</v>
      </c>
    </row>
    <row r="1005" spans="1:31" x14ac:dyDescent="0.25">
      <c r="E1005" s="791"/>
      <c r="F1005" s="792" t="s">
        <v>235</v>
      </c>
      <c r="G1005" s="793" t="s">
        <v>236</v>
      </c>
      <c r="H1005" s="794">
        <f>H864+H904+H916+H928+H950+H894+H992+H1002</f>
        <v>46107444</v>
      </c>
      <c r="I1005" s="794">
        <f>I864+I892+I905+I917</f>
        <v>27046953.869999997</v>
      </c>
      <c r="J1005" s="795">
        <f>I1005/H1005</f>
        <v>0.58660709689307433</v>
      </c>
      <c r="K1005" s="794">
        <f>H1005-I1005</f>
        <v>19060490.130000003</v>
      </c>
      <c r="L1005" s="796">
        <v>0</v>
      </c>
      <c r="M1005" s="796">
        <v>0</v>
      </c>
      <c r="N1005" s="797"/>
      <c r="O1005" s="796">
        <v>0</v>
      </c>
      <c r="P1005" s="796">
        <f>H1005+L1005</f>
        <v>46107444</v>
      </c>
      <c r="Q1005" s="796">
        <f>I1005+M1005</f>
        <v>27046953.869999997</v>
      </c>
      <c r="R1005" s="797">
        <f>Q1005/P1005</f>
        <v>0.58660709689307433</v>
      </c>
      <c r="S1005" s="796">
        <f>P1005-Q1005</f>
        <v>19060490.130000003</v>
      </c>
      <c r="AB1005" s="84">
        <f t="shared" si="149"/>
        <v>0</v>
      </c>
    </row>
    <row r="1006" spans="1:31" x14ac:dyDescent="0.25">
      <c r="E1006" s="791"/>
      <c r="F1006" s="817" t="s">
        <v>247</v>
      </c>
      <c r="G1006" s="793" t="s">
        <v>4745</v>
      </c>
      <c r="H1006" s="794">
        <f t="shared" ref="H1006:P1006" si="200">H887+H971+H981</f>
        <v>0</v>
      </c>
      <c r="I1006" s="794">
        <f t="shared" si="200"/>
        <v>253231.94</v>
      </c>
      <c r="J1006" s="795" t="e">
        <f t="shared" si="200"/>
        <v>#DIV/0!</v>
      </c>
      <c r="K1006" s="794">
        <f t="shared" si="200"/>
        <v>380576.06000000006</v>
      </c>
      <c r="L1006" s="796">
        <f t="shared" si="200"/>
        <v>10000000</v>
      </c>
      <c r="M1006" s="796">
        <f t="shared" si="200"/>
        <v>0</v>
      </c>
      <c r="N1006" s="797">
        <f t="shared" si="200"/>
        <v>0</v>
      </c>
      <c r="O1006" s="796">
        <f t="shared" si="200"/>
        <v>10000000</v>
      </c>
      <c r="P1006" s="796">
        <f t="shared" si="200"/>
        <v>10000000</v>
      </c>
      <c r="Q1006" s="796">
        <f>Q887</f>
        <v>0</v>
      </c>
      <c r="R1006" s="797">
        <f>R887</f>
        <v>0</v>
      </c>
      <c r="S1006" s="796">
        <f>S887</f>
        <v>0</v>
      </c>
      <c r="AB1006" s="84">
        <f t="shared" si="149"/>
        <v>0</v>
      </c>
    </row>
    <row r="1007" spans="1:31" ht="15.75" thickBot="1" x14ac:dyDescent="0.3">
      <c r="F1007" s="792" t="s">
        <v>250</v>
      </c>
      <c r="G1007" s="793" t="s">
        <v>251</v>
      </c>
      <c r="H1007" s="763">
        <v>0</v>
      </c>
      <c r="I1007" s="763">
        <v>0</v>
      </c>
      <c r="K1007" s="763">
        <v>0</v>
      </c>
      <c r="L1007" s="765">
        <f>L893+L873+L905+L917+L929+L939+L951+L961</f>
        <v>2529792</v>
      </c>
      <c r="M1007" s="765">
        <f>M893+M873</f>
        <v>290000</v>
      </c>
      <c r="N1007" s="766">
        <f>M1007/L1007</f>
        <v>0.11463393037846589</v>
      </c>
      <c r="O1007" s="765">
        <f>L1007-M1007</f>
        <v>2239792</v>
      </c>
      <c r="P1007" s="765">
        <f>H1007+L1007</f>
        <v>2529792</v>
      </c>
      <c r="Q1007" s="765">
        <f>I1007+M1007</f>
        <v>290000</v>
      </c>
      <c r="R1007" s="766">
        <f>Q1007/P1007</f>
        <v>0.11463393037846589</v>
      </c>
      <c r="S1007" s="796">
        <f>P1007-Q1007</f>
        <v>2239792</v>
      </c>
      <c r="AB1007" s="84">
        <f t="shared" si="149"/>
        <v>0</v>
      </c>
    </row>
    <row r="1008" spans="1:31" ht="15.75" thickBot="1" x14ac:dyDescent="0.3">
      <c r="G1008" s="798" t="s">
        <v>4164</v>
      </c>
      <c r="H1008" s="799">
        <f t="shared" ref="H1008:M1008" si="201">SUM(H1005:H1007)</f>
        <v>46107444</v>
      </c>
      <c r="I1008" s="799">
        <f t="shared" si="201"/>
        <v>27300185.809999999</v>
      </c>
      <c r="J1008" s="800" t="e">
        <f t="shared" si="201"/>
        <v>#DIV/0!</v>
      </c>
      <c r="K1008" s="799">
        <f t="shared" si="201"/>
        <v>19441066.190000001</v>
      </c>
      <c r="L1008" s="801">
        <f t="shared" si="201"/>
        <v>12529792</v>
      </c>
      <c r="M1008" s="801">
        <f t="shared" si="201"/>
        <v>290000</v>
      </c>
      <c r="N1008" s="802">
        <f>M1008/L1008</f>
        <v>2.3144837520048218E-2</v>
      </c>
      <c r="O1008" s="801">
        <f>SUM(O1005:O1007)</f>
        <v>12239792</v>
      </c>
      <c r="P1008" s="801">
        <f>SUM(P1005:P1007)</f>
        <v>58637236</v>
      </c>
      <c r="Q1008" s="801">
        <f>SUM(Q1005:Q1007)</f>
        <v>27336953.869999997</v>
      </c>
      <c r="R1008" s="802">
        <f>Q1008/P1008</f>
        <v>0.46620468041842894</v>
      </c>
      <c r="S1008" s="801">
        <f>SUM(S1005:S1007)</f>
        <v>21300282.130000003</v>
      </c>
      <c r="AB1008" s="84">
        <f t="shared" si="149"/>
        <v>0</v>
      </c>
    </row>
    <row r="1009" spans="1:31" x14ac:dyDescent="0.25">
      <c r="AB1009" s="84">
        <f t="shared" si="149"/>
        <v>0</v>
      </c>
    </row>
    <row r="1010" spans="1:31" ht="28.5" x14ac:dyDescent="0.25">
      <c r="C1010" s="761" t="s">
        <v>3573</v>
      </c>
      <c r="G1010" s="938" t="s">
        <v>5235</v>
      </c>
      <c r="AB1010" s="84">
        <f t="shared" si="149"/>
        <v>0</v>
      </c>
    </row>
    <row r="1011" spans="1:31" ht="29.25" x14ac:dyDescent="0.25">
      <c r="C1011" s="761" t="s">
        <v>5029</v>
      </c>
      <c r="G1011" s="773" t="s">
        <v>5030</v>
      </c>
      <c r="AB1011" s="84">
        <f t="shared" si="149"/>
        <v>0</v>
      </c>
    </row>
    <row r="1012" spans="1:31" x14ac:dyDescent="0.25">
      <c r="D1012" s="778">
        <v>420</v>
      </c>
      <c r="G1012" s="780" t="s">
        <v>138</v>
      </c>
      <c r="AB1012" s="84">
        <f t="shared" si="149"/>
        <v>0</v>
      </c>
    </row>
    <row r="1013" spans="1:31" x14ac:dyDescent="0.25">
      <c r="A1013" s="84"/>
      <c r="B1013" s="84"/>
      <c r="E1013" s="760" t="s">
        <v>5233</v>
      </c>
      <c r="F1013" s="759">
        <v>423</v>
      </c>
      <c r="G1013" s="879" t="s">
        <v>3783</v>
      </c>
      <c r="H1013" s="763">
        <v>250000</v>
      </c>
      <c r="I1013" s="763">
        <f>9867087.14+720000</f>
        <v>10587087.140000001</v>
      </c>
      <c r="J1013" s="764">
        <f>I1013/H1013</f>
        <v>42.348348560000005</v>
      </c>
      <c r="K1013" s="763">
        <f>H1013-I1013</f>
        <v>-10337087.140000001</v>
      </c>
      <c r="L1013" s="765">
        <v>0</v>
      </c>
      <c r="M1013" s="765">
        <v>0</v>
      </c>
      <c r="O1013" s="765">
        <f>L1013-M1013</f>
        <v>0</v>
      </c>
      <c r="P1013" s="765">
        <f>L1013+H1013</f>
        <v>250000</v>
      </c>
      <c r="Q1013" s="765">
        <f>M1013+I1013</f>
        <v>10587087.140000001</v>
      </c>
      <c r="R1013" s="766">
        <f>Q1013/P1013</f>
        <v>42.348348560000005</v>
      </c>
      <c r="S1013" s="765">
        <f>P1013-Q1013</f>
        <v>-10337087.140000001</v>
      </c>
      <c r="Z1013" s="830">
        <f>H1013-X1013+Y1013</f>
        <v>250000</v>
      </c>
      <c r="AA1013" s="831">
        <v>11488000</v>
      </c>
      <c r="AB1013" s="84">
        <f>Z1013-AA1013</f>
        <v>-11238000</v>
      </c>
      <c r="AE1013" s="84">
        <f>H1013-AA1013</f>
        <v>-11238000</v>
      </c>
    </row>
    <row r="1014" spans="1:31" ht="30.75" thickBot="1" x14ac:dyDescent="0.3">
      <c r="A1014" s="84"/>
      <c r="B1014" s="84"/>
      <c r="E1014" s="760" t="s">
        <v>5234</v>
      </c>
      <c r="F1014" s="759">
        <v>451</v>
      </c>
      <c r="G1014" s="879" t="s">
        <v>4779</v>
      </c>
      <c r="H1014" s="763">
        <v>8800000</v>
      </c>
      <c r="I1014" s="763">
        <f>9867087.14+720000</f>
        <v>10587087.140000001</v>
      </c>
      <c r="J1014" s="764">
        <f>I1014/H1014</f>
        <v>1.2030780840909092</v>
      </c>
      <c r="K1014" s="763">
        <f>H1014-I1014</f>
        <v>-1787087.1400000006</v>
      </c>
      <c r="L1014" s="765">
        <v>0</v>
      </c>
      <c r="M1014" s="765">
        <v>0</v>
      </c>
      <c r="O1014" s="765">
        <f>L1014-M1014</f>
        <v>0</v>
      </c>
      <c r="P1014" s="765">
        <f>L1014+H1014</f>
        <v>8800000</v>
      </c>
      <c r="Q1014" s="765">
        <f>M1014+I1014</f>
        <v>10587087.140000001</v>
      </c>
      <c r="R1014" s="766">
        <f>Q1014/P1014</f>
        <v>1.2030780840909092</v>
      </c>
      <c r="S1014" s="765">
        <f>P1014-Q1014</f>
        <v>-1787087.1400000006</v>
      </c>
      <c r="Z1014" s="830">
        <f>H1014-X1014+Y1014</f>
        <v>8800000</v>
      </c>
      <c r="AA1014" s="831">
        <v>11488000</v>
      </c>
      <c r="AB1014" s="84">
        <f t="shared" ref="AB1014:AB1077" si="202">Z1014-AA1014</f>
        <v>-2688000</v>
      </c>
      <c r="AE1014" s="84">
        <f>H1014-AA1014</f>
        <v>-2688000</v>
      </c>
    </row>
    <row r="1015" spans="1:31" x14ac:dyDescent="0.25">
      <c r="A1015" s="84"/>
      <c r="B1015" s="84"/>
      <c r="E1015" s="784"/>
      <c r="F1015" s="785"/>
      <c r="G1015" s="786" t="s">
        <v>4777</v>
      </c>
      <c r="H1015" s="787"/>
      <c r="I1015" s="787"/>
      <c r="J1015" s="788"/>
      <c r="K1015" s="787"/>
      <c r="L1015" s="789"/>
      <c r="M1015" s="789"/>
      <c r="N1015" s="790"/>
      <c r="O1015" s="789"/>
      <c r="P1015" s="789"/>
      <c r="Q1015" s="789"/>
      <c r="R1015" s="790"/>
      <c r="S1015" s="877"/>
      <c r="AB1015" s="84">
        <f t="shared" si="202"/>
        <v>0</v>
      </c>
    </row>
    <row r="1016" spans="1:31" ht="15.75" thickBot="1" x14ac:dyDescent="0.3">
      <c r="A1016" s="84"/>
      <c r="B1016" s="84"/>
      <c r="E1016" s="791"/>
      <c r="F1016" s="792" t="s">
        <v>235</v>
      </c>
      <c r="G1016" s="793" t="s">
        <v>236</v>
      </c>
      <c r="H1016" s="794">
        <f>SUM(H1013:H1014)</f>
        <v>9050000</v>
      </c>
      <c r="I1016" s="794">
        <f>SUM(I1013:I1014)</f>
        <v>21174174.280000001</v>
      </c>
      <c r="J1016" s="795">
        <f>I1016/H1016</f>
        <v>2.3396877657458566</v>
      </c>
      <c r="K1016" s="794">
        <f>SUM(K1013:K1014)</f>
        <v>-12124174.280000001</v>
      </c>
      <c r="L1016" s="796">
        <f>SUM(L1013:L1014)</f>
        <v>0</v>
      </c>
      <c r="M1016" s="796">
        <f>SUM(M1013:M1014)</f>
        <v>0</v>
      </c>
      <c r="N1016" s="797"/>
      <c r="O1016" s="796">
        <f>SUM(O1013:O1014)</f>
        <v>0</v>
      </c>
      <c r="P1016" s="796">
        <f>SUM(P1013:P1014)</f>
        <v>9050000</v>
      </c>
      <c r="Q1016" s="796">
        <f>SUM(Q1013:Q1014)</f>
        <v>21174174.280000001</v>
      </c>
      <c r="R1016" s="797">
        <f>Q1016/P1016</f>
        <v>2.3396877657458566</v>
      </c>
      <c r="S1016" s="796">
        <f>SUM(S1013:S1014)</f>
        <v>-12124174.280000001</v>
      </c>
      <c r="AB1016" s="84">
        <f t="shared" si="202"/>
        <v>0</v>
      </c>
    </row>
    <row r="1017" spans="1:31" ht="15.75" thickBot="1" x14ac:dyDescent="0.3">
      <c r="A1017" s="84"/>
      <c r="B1017" s="84"/>
      <c r="G1017" s="798" t="s">
        <v>4778</v>
      </c>
      <c r="H1017" s="799">
        <f>H1016</f>
        <v>9050000</v>
      </c>
      <c r="I1017" s="799">
        <f>SUM(I1014)</f>
        <v>10587087.140000001</v>
      </c>
      <c r="J1017" s="800">
        <f>SUM(J1014)</f>
        <v>1.2030780840909092</v>
      </c>
      <c r="K1017" s="799">
        <f>SUM(K1014)</f>
        <v>-1787087.1400000006</v>
      </c>
      <c r="L1017" s="801">
        <f>SUM(L1014)</f>
        <v>0</v>
      </c>
      <c r="M1017" s="801">
        <f>SUM(M1014)</f>
        <v>0</v>
      </c>
      <c r="N1017" s="802"/>
      <c r="O1017" s="801">
        <f>SUM(O1014)</f>
        <v>0</v>
      </c>
      <c r="P1017" s="801">
        <f>P1016</f>
        <v>9050000</v>
      </c>
      <c r="Q1017" s="801">
        <f>SUM(Q1014)</f>
        <v>10587087.140000001</v>
      </c>
      <c r="R1017" s="802">
        <f>SUM(R1014)</f>
        <v>1.2030780840909092</v>
      </c>
      <c r="S1017" s="801">
        <f>SUM(S1014)</f>
        <v>-1787087.1400000006</v>
      </c>
      <c r="AB1017" s="84">
        <f t="shared" si="202"/>
        <v>0</v>
      </c>
    </row>
    <row r="1018" spans="1:31" ht="28.5" collapsed="1" x14ac:dyDescent="0.25">
      <c r="A1018" s="84"/>
      <c r="B1018" s="84"/>
      <c r="E1018" s="784"/>
      <c r="F1018" s="785"/>
      <c r="G1018" s="803" t="s">
        <v>5027</v>
      </c>
      <c r="H1018" s="804"/>
      <c r="I1018" s="805"/>
      <c r="J1018" s="806"/>
      <c r="K1018" s="805"/>
      <c r="L1018" s="807"/>
      <c r="M1018" s="808"/>
      <c r="N1018" s="809"/>
      <c r="O1018" s="808"/>
      <c r="P1018" s="808"/>
      <c r="Q1018" s="808"/>
      <c r="R1018" s="809"/>
      <c r="S1018" s="878"/>
      <c r="AB1018" s="84">
        <f t="shared" si="202"/>
        <v>0</v>
      </c>
    </row>
    <row r="1019" spans="1:31" ht="15.75" thickBot="1" x14ac:dyDescent="0.3">
      <c r="A1019" s="84"/>
      <c r="B1019" s="84"/>
      <c r="E1019" s="791"/>
      <c r="F1019" s="792" t="s">
        <v>235</v>
      </c>
      <c r="G1019" s="793" t="s">
        <v>236</v>
      </c>
      <c r="H1019" s="794">
        <f>H1016</f>
        <v>9050000</v>
      </c>
      <c r="I1019" s="794">
        <f>SUM(I1014)</f>
        <v>10587087.140000001</v>
      </c>
      <c r="J1019" s="795">
        <f>SUM(J1014)</f>
        <v>1.2030780840909092</v>
      </c>
      <c r="K1019" s="794">
        <f>SUM(K1014)</f>
        <v>-1787087.1400000006</v>
      </c>
      <c r="L1019" s="796">
        <f>SUM(L1014)</f>
        <v>0</v>
      </c>
      <c r="M1019" s="796">
        <f>SUM(M1014)</f>
        <v>0</v>
      </c>
      <c r="N1019" s="797"/>
      <c r="O1019" s="796">
        <f>SUM(O1014)</f>
        <v>0</v>
      </c>
      <c r="P1019" s="796">
        <f>P1016</f>
        <v>9050000</v>
      </c>
      <c r="Q1019" s="796">
        <f>SUM(Q1014)</f>
        <v>10587087.140000001</v>
      </c>
      <c r="R1019" s="797">
        <f>SUM(R1014)</f>
        <v>1.2030780840909092</v>
      </c>
      <c r="S1019" s="796">
        <f>SUM(S1014)</f>
        <v>-1787087.1400000006</v>
      </c>
      <c r="AB1019" s="84">
        <f t="shared" si="202"/>
        <v>0</v>
      </c>
    </row>
    <row r="1020" spans="1:31" ht="15.75" collapsed="1" thickBot="1" x14ac:dyDescent="0.3">
      <c r="A1020" s="84"/>
      <c r="B1020" s="84"/>
      <c r="G1020" s="798" t="s">
        <v>5028</v>
      </c>
      <c r="H1020" s="799">
        <f t="shared" ref="H1020:M1020" si="203">SUM(H1019)</f>
        <v>9050000</v>
      </c>
      <c r="I1020" s="799">
        <f t="shared" si="203"/>
        <v>10587087.140000001</v>
      </c>
      <c r="J1020" s="800">
        <f t="shared" si="203"/>
        <v>1.2030780840909092</v>
      </c>
      <c r="K1020" s="799">
        <f t="shared" si="203"/>
        <v>-1787087.1400000006</v>
      </c>
      <c r="L1020" s="801">
        <f t="shared" si="203"/>
        <v>0</v>
      </c>
      <c r="M1020" s="801">
        <f t="shared" si="203"/>
        <v>0</v>
      </c>
      <c r="N1020" s="802"/>
      <c r="O1020" s="801">
        <f>SUM(O1019)</f>
        <v>0</v>
      </c>
      <c r="P1020" s="801">
        <f>SUM(P1019)</f>
        <v>9050000</v>
      </c>
      <c r="Q1020" s="801">
        <f>SUM(Q1019)</f>
        <v>10587087.140000001</v>
      </c>
      <c r="R1020" s="802">
        <f>SUM(R1019)</f>
        <v>1.2030780840909092</v>
      </c>
      <c r="S1020" s="801">
        <f>SUM(S1019)</f>
        <v>-1787087.1400000006</v>
      </c>
      <c r="AB1020" s="84">
        <f t="shared" si="202"/>
        <v>0</v>
      </c>
    </row>
    <row r="1021" spans="1:31" x14ac:dyDescent="0.25">
      <c r="A1021" s="84"/>
      <c r="B1021" s="84"/>
      <c r="G1021" s="811"/>
      <c r="H1021" s="812"/>
      <c r="I1021" s="812"/>
      <c r="J1021" s="813"/>
      <c r="K1021" s="812"/>
      <c r="L1021" s="814"/>
      <c r="M1021" s="814"/>
      <c r="N1021" s="815"/>
      <c r="O1021" s="814"/>
      <c r="P1021" s="814"/>
      <c r="Q1021" s="814"/>
      <c r="R1021" s="815"/>
      <c r="S1021" s="814"/>
      <c r="AB1021" s="84">
        <f t="shared" si="202"/>
        <v>0</v>
      </c>
    </row>
    <row r="1022" spans="1:31" x14ac:dyDescent="0.25">
      <c r="A1022" s="84"/>
      <c r="B1022" s="84"/>
      <c r="C1022" s="761" t="s">
        <v>4065</v>
      </c>
      <c r="G1022" s="773" t="s">
        <v>4954</v>
      </c>
      <c r="AB1022" s="84">
        <f t="shared" si="202"/>
        <v>0</v>
      </c>
    </row>
    <row r="1023" spans="1:31" x14ac:dyDescent="0.25">
      <c r="A1023" s="84"/>
      <c r="B1023" s="84"/>
      <c r="D1023" s="778">
        <v>420</v>
      </c>
      <c r="G1023" s="780" t="s">
        <v>138</v>
      </c>
      <c r="AB1023" s="84">
        <f t="shared" si="202"/>
        <v>0</v>
      </c>
    </row>
    <row r="1024" spans="1:31" ht="15.75" thickBot="1" x14ac:dyDescent="0.3">
      <c r="A1024" s="84"/>
      <c r="B1024" s="84"/>
      <c r="E1024" s="760" t="s">
        <v>5464</v>
      </c>
      <c r="F1024" s="759">
        <v>425</v>
      </c>
      <c r="G1024" s="879" t="s">
        <v>4127</v>
      </c>
      <c r="H1024" s="763">
        <v>9101648</v>
      </c>
      <c r="I1024" s="763">
        <v>2527874.88</v>
      </c>
      <c r="J1024" s="764">
        <f>I1024/H1024</f>
        <v>0.27773815027783977</v>
      </c>
      <c r="K1024" s="763">
        <f>H1024-I1024</f>
        <v>6573773.1200000001</v>
      </c>
      <c r="L1024" s="765">
        <v>0</v>
      </c>
      <c r="M1024" s="765">
        <v>0</v>
      </c>
      <c r="O1024" s="765">
        <f>L1024-M1024</f>
        <v>0</v>
      </c>
      <c r="P1024" s="765">
        <f>L1024+H1024</f>
        <v>9101648</v>
      </c>
      <c r="Q1024" s="765">
        <f>M1024+I1024</f>
        <v>2527874.88</v>
      </c>
      <c r="R1024" s="766">
        <f>Q1024/P1024</f>
        <v>0.27773815027783977</v>
      </c>
      <c r="S1024" s="765">
        <f>P1024-Q1024</f>
        <v>6573773.1200000001</v>
      </c>
      <c r="Z1024" s="830">
        <f>H1024-X1024+Y1024</f>
        <v>9101648</v>
      </c>
      <c r="AA1024" s="831">
        <v>7000000</v>
      </c>
      <c r="AB1024" s="84">
        <f t="shared" si="202"/>
        <v>2101648</v>
      </c>
      <c r="AE1024" s="84">
        <f>H1024-AA1024</f>
        <v>2101648</v>
      </c>
    </row>
    <row r="1025" spans="1:31" x14ac:dyDescent="0.25">
      <c r="A1025" s="84"/>
      <c r="B1025" s="84"/>
      <c r="E1025" s="784"/>
      <c r="F1025" s="785"/>
      <c r="G1025" s="786" t="s">
        <v>4777</v>
      </c>
      <c r="H1025" s="787"/>
      <c r="I1025" s="787"/>
      <c r="J1025" s="788"/>
      <c r="K1025" s="787"/>
      <c r="L1025" s="789"/>
      <c r="M1025" s="789"/>
      <c r="N1025" s="790"/>
      <c r="O1025" s="789"/>
      <c r="P1025" s="789"/>
      <c r="Q1025" s="789"/>
      <c r="R1025" s="790"/>
      <c r="S1025" s="877"/>
      <c r="AB1025" s="84">
        <f t="shared" si="202"/>
        <v>0</v>
      </c>
    </row>
    <row r="1026" spans="1:31" ht="15.75" thickBot="1" x14ac:dyDescent="0.3">
      <c r="A1026" s="84"/>
      <c r="B1026" s="84"/>
      <c r="E1026" s="791"/>
      <c r="F1026" s="792" t="s">
        <v>235</v>
      </c>
      <c r="G1026" s="793" t="s">
        <v>236</v>
      </c>
      <c r="H1026" s="794">
        <f t="shared" ref="H1026:M1026" si="204">SUM(H1024)</f>
        <v>9101648</v>
      </c>
      <c r="I1026" s="794">
        <f t="shared" si="204"/>
        <v>2527874.88</v>
      </c>
      <c r="J1026" s="795">
        <f>I1026/H1026</f>
        <v>0.27773815027783977</v>
      </c>
      <c r="K1026" s="794">
        <f t="shared" si="204"/>
        <v>6573773.1200000001</v>
      </c>
      <c r="L1026" s="796">
        <f t="shared" si="204"/>
        <v>0</v>
      </c>
      <c r="M1026" s="796">
        <f t="shared" si="204"/>
        <v>0</v>
      </c>
      <c r="N1026" s="797"/>
      <c r="O1026" s="796">
        <f>SUM(O1024)</f>
        <v>0</v>
      </c>
      <c r="P1026" s="796">
        <f>SUM(P1024)</f>
        <v>9101648</v>
      </c>
      <c r="Q1026" s="796">
        <f>SUM(Q1024)</f>
        <v>2527874.88</v>
      </c>
      <c r="R1026" s="797">
        <f>Q1026/P1026</f>
        <v>0.27773815027783977</v>
      </c>
      <c r="S1026" s="796">
        <f>SUM(S1024)</f>
        <v>6573773.1200000001</v>
      </c>
      <c r="AB1026" s="84">
        <f t="shared" si="202"/>
        <v>0</v>
      </c>
    </row>
    <row r="1027" spans="1:31" ht="15.75" thickBot="1" x14ac:dyDescent="0.3">
      <c r="A1027" s="84"/>
      <c r="B1027" s="84"/>
      <c r="G1027" s="798" t="s">
        <v>4778</v>
      </c>
      <c r="H1027" s="799">
        <f t="shared" ref="H1027:M1027" si="205">SUM(H1024)</f>
        <v>9101648</v>
      </c>
      <c r="I1027" s="799">
        <f t="shared" si="205"/>
        <v>2527874.88</v>
      </c>
      <c r="J1027" s="800">
        <f>I1027/H1027</f>
        <v>0.27773815027783977</v>
      </c>
      <c r="K1027" s="799">
        <f t="shared" si="205"/>
        <v>6573773.1200000001</v>
      </c>
      <c r="L1027" s="801">
        <f t="shared" si="205"/>
        <v>0</v>
      </c>
      <c r="M1027" s="801">
        <f t="shared" si="205"/>
        <v>0</v>
      </c>
      <c r="N1027" s="802"/>
      <c r="O1027" s="801">
        <f>SUM(O1024)</f>
        <v>0</v>
      </c>
      <c r="P1027" s="801">
        <f>SUM(P1024)</f>
        <v>9101648</v>
      </c>
      <c r="Q1027" s="801">
        <f>SUM(Q1024)</f>
        <v>2527874.88</v>
      </c>
      <c r="R1027" s="802">
        <f>Q1027/P1027</f>
        <v>0.27773815027783977</v>
      </c>
      <c r="S1027" s="801">
        <f>SUM(S1024)</f>
        <v>6573773.1200000001</v>
      </c>
      <c r="AB1027" s="84">
        <f t="shared" si="202"/>
        <v>0</v>
      </c>
    </row>
    <row r="1028" spans="1:31" ht="28.5" collapsed="1" x14ac:dyDescent="0.25">
      <c r="A1028" s="84"/>
      <c r="B1028" s="84"/>
      <c r="E1028" s="784"/>
      <c r="F1028" s="785"/>
      <c r="G1028" s="803" t="s">
        <v>4780</v>
      </c>
      <c r="H1028" s="804"/>
      <c r="I1028" s="805"/>
      <c r="J1028" s="806"/>
      <c r="K1028" s="805"/>
      <c r="L1028" s="807"/>
      <c r="M1028" s="808"/>
      <c r="N1028" s="809"/>
      <c r="O1028" s="808"/>
      <c r="P1028" s="808"/>
      <c r="Q1028" s="808"/>
      <c r="R1028" s="809"/>
      <c r="S1028" s="878"/>
      <c r="AB1028" s="84">
        <f t="shared" si="202"/>
        <v>0</v>
      </c>
    </row>
    <row r="1029" spans="1:31" ht="15.75" thickBot="1" x14ac:dyDescent="0.3">
      <c r="E1029" s="791"/>
      <c r="F1029" s="792" t="s">
        <v>235</v>
      </c>
      <c r="G1029" s="793" t="s">
        <v>236</v>
      </c>
      <c r="H1029" s="794">
        <f t="shared" ref="H1029:M1029" si="206">SUM(H1024)</f>
        <v>9101648</v>
      </c>
      <c r="I1029" s="794">
        <f t="shared" si="206"/>
        <v>2527874.88</v>
      </c>
      <c r="J1029" s="795">
        <f>I1029/H1029</f>
        <v>0.27773815027783977</v>
      </c>
      <c r="K1029" s="794">
        <f t="shared" si="206"/>
        <v>6573773.1200000001</v>
      </c>
      <c r="L1029" s="796">
        <f t="shared" si="206"/>
        <v>0</v>
      </c>
      <c r="M1029" s="796">
        <f t="shared" si="206"/>
        <v>0</v>
      </c>
      <c r="N1029" s="797"/>
      <c r="O1029" s="796">
        <f>SUM(O1024)</f>
        <v>0</v>
      </c>
      <c r="P1029" s="796">
        <f>SUM(P1024)</f>
        <v>9101648</v>
      </c>
      <c r="Q1029" s="796">
        <f>SUM(Q1024)</f>
        <v>2527874.88</v>
      </c>
      <c r="R1029" s="797">
        <f>Q1029/P1029</f>
        <v>0.27773815027783977</v>
      </c>
      <c r="S1029" s="796">
        <f>SUM(S1024)</f>
        <v>6573773.1200000001</v>
      </c>
      <c r="AB1029" s="84">
        <f t="shared" si="202"/>
        <v>0</v>
      </c>
    </row>
    <row r="1030" spans="1:31" ht="15.75" collapsed="1" thickBot="1" x14ac:dyDescent="0.3">
      <c r="G1030" s="798" t="s">
        <v>4781</v>
      </c>
      <c r="H1030" s="799">
        <f t="shared" ref="H1030:M1030" si="207">SUM(H1029)</f>
        <v>9101648</v>
      </c>
      <c r="I1030" s="799">
        <f t="shared" si="207"/>
        <v>2527874.88</v>
      </c>
      <c r="J1030" s="800">
        <f>I1030/H1030</f>
        <v>0.27773815027783977</v>
      </c>
      <c r="K1030" s="799">
        <f t="shared" si="207"/>
        <v>6573773.1200000001</v>
      </c>
      <c r="L1030" s="801">
        <f t="shared" si="207"/>
        <v>0</v>
      </c>
      <c r="M1030" s="801">
        <f t="shared" si="207"/>
        <v>0</v>
      </c>
      <c r="N1030" s="802"/>
      <c r="O1030" s="801">
        <f>SUM(O1029)</f>
        <v>0</v>
      </c>
      <c r="P1030" s="801">
        <f>SUM(P1029)</f>
        <v>9101648</v>
      </c>
      <c r="Q1030" s="801">
        <f>SUM(Q1029)</f>
        <v>2527874.88</v>
      </c>
      <c r="R1030" s="802">
        <f>Q1030/P1030</f>
        <v>0.27773815027783977</v>
      </c>
      <c r="S1030" s="801">
        <f>SUM(S1029)</f>
        <v>6573773.1200000001</v>
      </c>
      <c r="AB1030" s="84">
        <f t="shared" si="202"/>
        <v>0</v>
      </c>
    </row>
    <row r="1031" spans="1:31" x14ac:dyDescent="0.25">
      <c r="G1031" s="811"/>
      <c r="H1031" s="812"/>
      <c r="I1031" s="812"/>
      <c r="J1031" s="813"/>
      <c r="K1031" s="812"/>
      <c r="L1031" s="814"/>
      <c r="M1031" s="814"/>
      <c r="N1031" s="815"/>
      <c r="O1031" s="814"/>
      <c r="P1031" s="814"/>
      <c r="Q1031" s="814"/>
      <c r="R1031" s="815"/>
      <c r="S1031" s="814"/>
      <c r="AB1031" s="84">
        <f t="shared" si="202"/>
        <v>0</v>
      </c>
    </row>
    <row r="1032" spans="1:31" x14ac:dyDescent="0.25">
      <c r="E1032" s="784"/>
      <c r="F1032" s="785"/>
      <c r="G1032" s="821" t="s">
        <v>4782</v>
      </c>
      <c r="H1032" s="822"/>
      <c r="I1032" s="822"/>
      <c r="J1032" s="823"/>
      <c r="K1032" s="822"/>
      <c r="L1032" s="824"/>
      <c r="M1032" s="824"/>
      <c r="N1032" s="825"/>
      <c r="O1032" s="824"/>
      <c r="P1032" s="824"/>
      <c r="Q1032" s="824"/>
      <c r="R1032" s="825"/>
      <c r="S1032" s="880"/>
      <c r="AB1032" s="84">
        <f t="shared" si="202"/>
        <v>0</v>
      </c>
    </row>
    <row r="1033" spans="1:31" ht="15.75" thickBot="1" x14ac:dyDescent="0.3">
      <c r="E1033" s="791"/>
      <c r="F1033" s="792" t="s">
        <v>235</v>
      </c>
      <c r="G1033" s="793" t="s">
        <v>236</v>
      </c>
      <c r="H1033" s="794">
        <f>H1029+H1019</f>
        <v>18151648</v>
      </c>
      <c r="I1033" s="794">
        <f t="shared" ref="I1033:S1033" si="208">I1029+I1019</f>
        <v>13114962.02</v>
      </c>
      <c r="J1033" s="795">
        <f>I1033/H1033</f>
        <v>0.72252183493201272</v>
      </c>
      <c r="K1033" s="794">
        <f t="shared" si="208"/>
        <v>4786685.9799999995</v>
      </c>
      <c r="L1033" s="796">
        <f t="shared" si="208"/>
        <v>0</v>
      </c>
      <c r="M1033" s="796">
        <f t="shared" si="208"/>
        <v>0</v>
      </c>
      <c r="N1033" s="797">
        <f t="shared" si="208"/>
        <v>0</v>
      </c>
      <c r="O1033" s="796">
        <f t="shared" si="208"/>
        <v>0</v>
      </c>
      <c r="P1033" s="796">
        <f t="shared" si="208"/>
        <v>18151648</v>
      </c>
      <c r="Q1033" s="796">
        <f t="shared" si="208"/>
        <v>13114962.02</v>
      </c>
      <c r="R1033" s="797">
        <f>Q1033/P1033</f>
        <v>0.72252183493201272</v>
      </c>
      <c r="S1033" s="796">
        <f t="shared" si="208"/>
        <v>4786685.9799999995</v>
      </c>
      <c r="AB1033" s="84">
        <f t="shared" si="202"/>
        <v>0</v>
      </c>
    </row>
    <row r="1034" spans="1:31" ht="15.75" thickBot="1" x14ac:dyDescent="0.3">
      <c r="G1034" s="798" t="s">
        <v>4783</v>
      </c>
      <c r="H1034" s="799">
        <f t="shared" ref="H1034:M1034" si="209">SUM(H1033:H1033)</f>
        <v>18151648</v>
      </c>
      <c r="I1034" s="799">
        <f t="shared" si="209"/>
        <v>13114962.02</v>
      </c>
      <c r="J1034" s="800">
        <f>I1034/H1034</f>
        <v>0.72252183493201272</v>
      </c>
      <c r="K1034" s="799">
        <f t="shared" si="209"/>
        <v>4786685.9799999995</v>
      </c>
      <c r="L1034" s="801">
        <f t="shared" si="209"/>
        <v>0</v>
      </c>
      <c r="M1034" s="801">
        <f t="shared" si="209"/>
        <v>0</v>
      </c>
      <c r="N1034" s="802"/>
      <c r="O1034" s="801">
        <f>SUM(O1033:O1033)</f>
        <v>0</v>
      </c>
      <c r="P1034" s="801">
        <f>SUM(P1033:P1033)</f>
        <v>18151648</v>
      </c>
      <c r="Q1034" s="801">
        <f>SUM(Q1033:Q1033)</f>
        <v>13114962.02</v>
      </c>
      <c r="R1034" s="802">
        <f>Q1034/P1034</f>
        <v>0.72252183493201272</v>
      </c>
      <c r="S1034" s="801">
        <f>SUM(S1033:S1033)</f>
        <v>4786685.9799999995</v>
      </c>
      <c r="AB1034" s="84">
        <f t="shared" si="202"/>
        <v>0</v>
      </c>
    </row>
    <row r="1035" spans="1:31" x14ac:dyDescent="0.25">
      <c r="G1035" s="811"/>
      <c r="H1035" s="812"/>
      <c r="I1035" s="812"/>
      <c r="J1035" s="813"/>
      <c r="K1035" s="812"/>
      <c r="L1035" s="814"/>
      <c r="M1035" s="814"/>
      <c r="N1035" s="815"/>
      <c r="O1035" s="814"/>
      <c r="P1035" s="814"/>
      <c r="Q1035" s="814"/>
      <c r="R1035" s="815"/>
      <c r="S1035" s="814"/>
      <c r="AB1035" s="84">
        <f t="shared" si="202"/>
        <v>0</v>
      </c>
    </row>
    <row r="1036" spans="1:31" ht="28.5" x14ac:dyDescent="0.25">
      <c r="C1036" s="761" t="s">
        <v>3576</v>
      </c>
      <c r="G1036" s="811" t="s">
        <v>4797</v>
      </c>
      <c r="H1036" s="812"/>
      <c r="I1036" s="812"/>
      <c r="J1036" s="813"/>
      <c r="K1036" s="812"/>
      <c r="L1036" s="814"/>
      <c r="M1036" s="814"/>
      <c r="N1036" s="815"/>
      <c r="O1036" s="814"/>
      <c r="P1036" s="814"/>
      <c r="Q1036" s="814"/>
      <c r="R1036" s="815"/>
      <c r="S1036" s="814"/>
      <c r="AB1036" s="84">
        <f t="shared" si="202"/>
        <v>0</v>
      </c>
    </row>
    <row r="1037" spans="1:31" ht="30" customHeight="1" x14ac:dyDescent="0.25">
      <c r="C1037" s="761" t="s">
        <v>4054</v>
      </c>
      <c r="D1037" s="770"/>
      <c r="G1037" s="869" t="s">
        <v>4967</v>
      </c>
      <c r="AB1037" s="84">
        <f t="shared" si="202"/>
        <v>0</v>
      </c>
    </row>
    <row r="1038" spans="1:31" s="972" customFormat="1" ht="30" x14ac:dyDescent="0.25">
      <c r="A1038" s="767"/>
      <c r="B1038" s="768"/>
      <c r="C1038" s="968"/>
      <c r="D1038" s="986" t="s">
        <v>3964</v>
      </c>
      <c r="E1038" s="986"/>
      <c r="F1038" s="987"/>
      <c r="G1038" s="988" t="s">
        <v>180</v>
      </c>
      <c r="H1038" s="774"/>
      <c r="I1038" s="774"/>
      <c r="J1038" s="775"/>
      <c r="K1038" s="774"/>
      <c r="L1038" s="776"/>
      <c r="M1038" s="776"/>
      <c r="N1038" s="777"/>
      <c r="O1038" s="776"/>
      <c r="P1038" s="776"/>
      <c r="Q1038" s="776"/>
      <c r="R1038" s="777"/>
      <c r="S1038" s="970"/>
      <c r="T1038" s="971"/>
      <c r="V1038" s="973"/>
      <c r="W1038" s="973"/>
      <c r="X1038" s="833"/>
      <c r="Y1038" s="834"/>
      <c r="Z1038" s="830"/>
      <c r="AA1038" s="831"/>
      <c r="AB1038" s="972">
        <f t="shared" si="202"/>
        <v>0</v>
      </c>
    </row>
    <row r="1039" spans="1:31" s="972" customFormat="1" ht="15.75" thickBot="1" x14ac:dyDescent="0.3">
      <c r="A1039" s="767"/>
      <c r="B1039" s="768"/>
      <c r="C1039" s="968"/>
      <c r="D1039" s="986"/>
      <c r="E1039" s="976" t="s">
        <v>5465</v>
      </c>
      <c r="F1039" s="989">
        <v>421</v>
      </c>
      <c r="G1039" s="991" t="s">
        <v>4965</v>
      </c>
      <c r="H1039" s="763">
        <v>600000</v>
      </c>
      <c r="I1039" s="763">
        <v>21600</v>
      </c>
      <c r="J1039" s="764">
        <f>I1039/H1039</f>
        <v>3.5999999999999997E-2</v>
      </c>
      <c r="K1039" s="763">
        <f>H1039-I1039</f>
        <v>578400</v>
      </c>
      <c r="L1039" s="765">
        <v>0</v>
      </c>
      <c r="M1039" s="765">
        <v>0</v>
      </c>
      <c r="N1039" s="766"/>
      <c r="O1039" s="765">
        <f>L1039-M1039</f>
        <v>0</v>
      </c>
      <c r="P1039" s="765">
        <f t="shared" ref="P1039:Q1043" si="210">L1039+H1039</f>
        <v>600000</v>
      </c>
      <c r="Q1039" s="765">
        <f t="shared" si="210"/>
        <v>21600</v>
      </c>
      <c r="R1039" s="766">
        <f>Q1039/P1039</f>
        <v>3.5999999999999997E-2</v>
      </c>
      <c r="S1039" s="765">
        <f>P1039-Q1039</f>
        <v>578400</v>
      </c>
      <c r="T1039" s="971"/>
      <c r="V1039" s="973"/>
      <c r="W1039" s="973"/>
      <c r="X1039" s="833"/>
      <c r="Y1039" s="834">
        <v>21600</v>
      </c>
      <c r="Z1039" s="830">
        <f>H1039-X1039+Y1039</f>
        <v>621600</v>
      </c>
      <c r="AA1039" s="831">
        <v>600000</v>
      </c>
      <c r="AB1039" s="972">
        <f t="shared" si="202"/>
        <v>21600</v>
      </c>
      <c r="AE1039" s="972">
        <f>H1039-AA1039</f>
        <v>0</v>
      </c>
    </row>
    <row r="1040" spans="1:31" hidden="1" x14ac:dyDescent="0.25">
      <c r="A1040" s="84"/>
      <c r="B1040" s="84"/>
      <c r="C1040" s="84"/>
      <c r="D1040" s="84"/>
      <c r="F1040" s="782">
        <v>423</v>
      </c>
      <c r="G1040" s="783" t="s">
        <v>3783</v>
      </c>
      <c r="H1040" s="763">
        <v>0</v>
      </c>
      <c r="I1040" s="763">
        <v>0</v>
      </c>
      <c r="J1040" s="764" t="e">
        <f>I1040/H1040</f>
        <v>#DIV/0!</v>
      </c>
      <c r="K1040" s="763">
        <f>H1040-I1040</f>
        <v>0</v>
      </c>
      <c r="L1040" s="765">
        <v>0</v>
      </c>
      <c r="M1040" s="765">
        <v>0</v>
      </c>
      <c r="O1040" s="765">
        <f>L1040-M1040</f>
        <v>0</v>
      </c>
      <c r="P1040" s="765">
        <f t="shared" si="210"/>
        <v>0</v>
      </c>
      <c r="Q1040" s="765">
        <f t="shared" si="210"/>
        <v>0</v>
      </c>
      <c r="R1040" s="766" t="e">
        <f>Q1040/P1040</f>
        <v>#DIV/0!</v>
      </c>
      <c r="S1040" s="765">
        <f>P1040-Q1040</f>
        <v>0</v>
      </c>
      <c r="T1040" s="84"/>
      <c r="Z1040" s="830">
        <f>H1040-X1040+Y1040</f>
        <v>0</v>
      </c>
      <c r="AA1040" s="831">
        <v>0</v>
      </c>
      <c r="AB1040" s="84">
        <f t="shared" si="202"/>
        <v>0</v>
      </c>
      <c r="AE1040" s="84">
        <f>H1040-AA1040</f>
        <v>0</v>
      </c>
    </row>
    <row r="1041" spans="1:31" ht="15.75" hidden="1" thickBot="1" x14ac:dyDescent="0.3">
      <c r="A1041" s="84"/>
      <c r="B1041" s="84"/>
      <c r="C1041" s="84"/>
      <c r="D1041" s="84"/>
      <c r="E1041" s="760" t="s">
        <v>5335</v>
      </c>
      <c r="F1041" s="782">
        <v>424</v>
      </c>
      <c r="G1041" s="783" t="s">
        <v>3785</v>
      </c>
      <c r="H1041" s="763">
        <v>0</v>
      </c>
      <c r="I1041" s="763">
        <v>0</v>
      </c>
      <c r="K1041" s="763">
        <f>H1041-I1041</f>
        <v>0</v>
      </c>
      <c r="L1041" s="765">
        <v>0</v>
      </c>
      <c r="M1041" s="765">
        <v>0</v>
      </c>
      <c r="O1041" s="765">
        <v>0</v>
      </c>
      <c r="P1041" s="765">
        <f>L1041+H1041</f>
        <v>0</v>
      </c>
      <c r="Q1041" s="765">
        <f>M1041+I1041</f>
        <v>0</v>
      </c>
      <c r="S1041" s="765">
        <f>P1041-Q1041</f>
        <v>0</v>
      </c>
      <c r="T1041" s="84"/>
      <c r="X1041" s="833">
        <v>3000000</v>
      </c>
      <c r="Z1041" s="830">
        <f>H1041-X1041+Y1041</f>
        <v>-3000000</v>
      </c>
      <c r="AA1041" s="831">
        <v>3000000</v>
      </c>
      <c r="AB1041" s="84">
        <f t="shared" si="202"/>
        <v>-6000000</v>
      </c>
      <c r="AE1041" s="84">
        <f>H1041-AA1041</f>
        <v>-3000000</v>
      </c>
    </row>
    <row r="1042" spans="1:31" ht="15" hidden="1" customHeight="1" x14ac:dyDescent="0.25">
      <c r="A1042" s="84"/>
      <c r="B1042" s="84"/>
      <c r="C1042" s="84"/>
      <c r="D1042" s="84"/>
      <c r="F1042" s="782">
        <v>426</v>
      </c>
      <c r="G1042" s="783" t="s">
        <v>3789</v>
      </c>
      <c r="H1042" s="763">
        <v>0</v>
      </c>
      <c r="I1042" s="763">
        <v>0</v>
      </c>
      <c r="J1042" s="764" t="e">
        <f>I1042/H1042</f>
        <v>#DIV/0!</v>
      </c>
      <c r="K1042" s="763">
        <f>H1042-I1042</f>
        <v>0</v>
      </c>
      <c r="L1042" s="765">
        <v>0</v>
      </c>
      <c r="M1042" s="765">
        <v>0</v>
      </c>
      <c r="O1042" s="765">
        <f>L1042-M1042</f>
        <v>0</v>
      </c>
      <c r="P1042" s="765">
        <f t="shared" si="210"/>
        <v>0</v>
      </c>
      <c r="Q1042" s="765">
        <f t="shared" si="210"/>
        <v>0</v>
      </c>
      <c r="R1042" s="766" t="e">
        <f>Q1042/P1042</f>
        <v>#DIV/0!</v>
      </c>
      <c r="S1042" s="765">
        <f>P1042-Q1042</f>
        <v>0</v>
      </c>
      <c r="T1042" s="84"/>
      <c r="Z1042" s="830">
        <f>H1042-X1042+Y1042</f>
        <v>0</v>
      </c>
      <c r="AA1042" s="831">
        <v>0</v>
      </c>
      <c r="AB1042" s="84">
        <f t="shared" si="202"/>
        <v>0</v>
      </c>
    </row>
    <row r="1043" spans="1:31" ht="15.75" hidden="1" customHeight="1" thickBot="1" x14ac:dyDescent="0.3">
      <c r="A1043" s="84"/>
      <c r="B1043" s="84"/>
      <c r="C1043" s="84"/>
      <c r="D1043" s="84"/>
      <c r="F1043" s="782">
        <v>512</v>
      </c>
      <c r="G1043" s="783" t="s">
        <v>4142</v>
      </c>
      <c r="H1043" s="763">
        <v>0</v>
      </c>
      <c r="I1043" s="1005">
        <v>0</v>
      </c>
      <c r="K1043" s="763">
        <f>H1043-I1043</f>
        <v>0</v>
      </c>
      <c r="L1043" s="765">
        <v>0</v>
      </c>
      <c r="M1043" s="765">
        <v>0</v>
      </c>
      <c r="O1043" s="765">
        <v>0</v>
      </c>
      <c r="P1043" s="765">
        <f t="shared" si="210"/>
        <v>0</v>
      </c>
      <c r="Q1043" s="765">
        <f t="shared" si="210"/>
        <v>0</v>
      </c>
      <c r="S1043" s="765">
        <f>P1043-Q1043</f>
        <v>0</v>
      </c>
      <c r="T1043" s="84"/>
      <c r="Z1043" s="830">
        <f>H1043-X1043+Y1043</f>
        <v>0</v>
      </c>
      <c r="AA1043" s="831">
        <v>0</v>
      </c>
      <c r="AB1043" s="84">
        <f t="shared" si="202"/>
        <v>0</v>
      </c>
    </row>
    <row r="1044" spans="1:31" x14ac:dyDescent="0.25">
      <c r="A1044" s="84"/>
      <c r="B1044" s="84"/>
      <c r="C1044" s="84"/>
      <c r="D1044" s="84"/>
      <c r="E1044" s="784"/>
      <c r="F1044" s="785"/>
      <c r="G1044" s="786" t="s">
        <v>4793</v>
      </c>
      <c r="H1044" s="787"/>
      <c r="I1044" s="787"/>
      <c r="J1044" s="788"/>
      <c r="K1044" s="787"/>
      <c r="L1044" s="789"/>
      <c r="M1044" s="789"/>
      <c r="N1044" s="790"/>
      <c r="O1044" s="789"/>
      <c r="P1044" s="789"/>
      <c r="Q1044" s="789"/>
      <c r="R1044" s="790"/>
      <c r="S1044" s="877"/>
      <c r="T1044" s="84"/>
      <c r="AB1044" s="84">
        <f t="shared" si="202"/>
        <v>0</v>
      </c>
    </row>
    <row r="1045" spans="1:31" ht="15.75" thickBot="1" x14ac:dyDescent="0.3">
      <c r="A1045" s="84"/>
      <c r="B1045" s="84"/>
      <c r="C1045" s="84"/>
      <c r="D1045" s="84"/>
      <c r="E1045" s="791"/>
      <c r="F1045" s="792" t="s">
        <v>235</v>
      </c>
      <c r="G1045" s="793" t="s">
        <v>236</v>
      </c>
      <c r="H1045" s="794">
        <f>SUM(H1039:H1043)</f>
        <v>600000</v>
      </c>
      <c r="I1045" s="794">
        <f>SUM(I1039:I1043)</f>
        <v>21600</v>
      </c>
      <c r="J1045" s="795">
        <f>I1045/H1045</f>
        <v>3.5999999999999997E-2</v>
      </c>
      <c r="K1045" s="794">
        <f>H1045-I1045</f>
        <v>578400</v>
      </c>
      <c r="L1045" s="796">
        <f>SUM(L1039:L1043)</f>
        <v>0</v>
      </c>
      <c r="M1045" s="796">
        <f>SUM(M1039:M1043)</f>
        <v>0</v>
      </c>
      <c r="N1045" s="797"/>
      <c r="O1045" s="796">
        <f>L1045-M1045</f>
        <v>0</v>
      </c>
      <c r="P1045" s="796">
        <f>L1045+H1045</f>
        <v>600000</v>
      </c>
      <c r="Q1045" s="796">
        <f>M1045+I1045</f>
        <v>21600</v>
      </c>
      <c r="R1045" s="797">
        <f>Q1045/P1045</f>
        <v>3.5999999999999997E-2</v>
      </c>
      <c r="S1045" s="796">
        <f>P1045-Q1045</f>
        <v>578400</v>
      </c>
      <c r="T1045" s="84"/>
      <c r="AB1045" s="84">
        <f t="shared" si="202"/>
        <v>0</v>
      </c>
    </row>
    <row r="1046" spans="1:31" ht="15.75" thickBot="1" x14ac:dyDescent="0.3">
      <c r="A1046" s="84"/>
      <c r="B1046" s="84"/>
      <c r="C1046" s="84"/>
      <c r="D1046" s="84"/>
      <c r="G1046" s="798" t="s">
        <v>4794</v>
      </c>
      <c r="H1046" s="799">
        <f>SUM(H1045:H1045)</f>
        <v>600000</v>
      </c>
      <c r="I1046" s="799">
        <f>SUM(I1045:I1045)</f>
        <v>21600</v>
      </c>
      <c r="J1046" s="800">
        <f>I1046/H1046</f>
        <v>3.5999999999999997E-2</v>
      </c>
      <c r="K1046" s="799">
        <f>H1046-I1046</f>
        <v>578400</v>
      </c>
      <c r="L1046" s="801">
        <f>SUM(L1045)</f>
        <v>0</v>
      </c>
      <c r="M1046" s="801">
        <f>SUM(M1045)</f>
        <v>0</v>
      </c>
      <c r="N1046" s="802"/>
      <c r="O1046" s="801">
        <f>L1046-M1046</f>
        <v>0</v>
      </c>
      <c r="P1046" s="801">
        <f>L1046+H1046</f>
        <v>600000</v>
      </c>
      <c r="Q1046" s="801">
        <f>M1046+I1046</f>
        <v>21600</v>
      </c>
      <c r="R1046" s="802">
        <f>Q1046/P1046</f>
        <v>3.5999999999999997E-2</v>
      </c>
      <c r="S1046" s="801">
        <f>P1046-Q1046</f>
        <v>578400</v>
      </c>
      <c r="T1046" s="84"/>
      <c r="AB1046" s="84">
        <f t="shared" si="202"/>
        <v>0</v>
      </c>
    </row>
    <row r="1047" spans="1:31" ht="28.5" collapsed="1" x14ac:dyDescent="0.25">
      <c r="A1047" s="84"/>
      <c r="B1047" s="84"/>
      <c r="C1047" s="84"/>
      <c r="D1047" s="84"/>
      <c r="E1047" s="784"/>
      <c r="F1047" s="785"/>
      <c r="G1047" s="803" t="s">
        <v>4795</v>
      </c>
      <c r="H1047" s="804"/>
      <c r="I1047" s="805"/>
      <c r="J1047" s="806"/>
      <c r="K1047" s="805"/>
      <c r="L1047" s="807"/>
      <c r="M1047" s="808"/>
      <c r="N1047" s="809"/>
      <c r="O1047" s="808"/>
      <c r="P1047" s="808"/>
      <c r="Q1047" s="808"/>
      <c r="R1047" s="809"/>
      <c r="S1047" s="878"/>
      <c r="T1047" s="84"/>
      <c r="AB1047" s="84">
        <f t="shared" si="202"/>
        <v>0</v>
      </c>
    </row>
    <row r="1048" spans="1:31" ht="15.75" thickBot="1" x14ac:dyDescent="0.3">
      <c r="A1048" s="84"/>
      <c r="B1048" s="84"/>
      <c r="C1048" s="84"/>
      <c r="D1048" s="84"/>
      <c r="E1048" s="791"/>
      <c r="F1048" s="792" t="s">
        <v>235</v>
      </c>
      <c r="G1048" s="793" t="s">
        <v>236</v>
      </c>
      <c r="H1048" s="794">
        <f>SUM(H1045)</f>
        <v>600000</v>
      </c>
      <c r="I1048" s="794">
        <f>SUM(I1045)</f>
        <v>21600</v>
      </c>
      <c r="J1048" s="795">
        <f>I1048/H1048</f>
        <v>3.5999999999999997E-2</v>
      </c>
      <c r="K1048" s="794">
        <f>H1048-I1048</f>
        <v>578400</v>
      </c>
      <c r="L1048" s="796">
        <f>SUM(L1045)</f>
        <v>0</v>
      </c>
      <c r="M1048" s="796">
        <f>SUM(M1045)</f>
        <v>0</v>
      </c>
      <c r="N1048" s="797"/>
      <c r="O1048" s="796">
        <f>L1048-M1048</f>
        <v>0</v>
      </c>
      <c r="P1048" s="796">
        <f>L1048+H1048</f>
        <v>600000</v>
      </c>
      <c r="Q1048" s="796">
        <f>M1048+I1048</f>
        <v>21600</v>
      </c>
      <c r="R1048" s="797">
        <f>Q1048/P1048</f>
        <v>3.5999999999999997E-2</v>
      </c>
      <c r="S1048" s="796">
        <f>P1048-Q1048</f>
        <v>578400</v>
      </c>
      <c r="T1048" s="84"/>
      <c r="AB1048" s="84">
        <f t="shared" si="202"/>
        <v>0</v>
      </c>
    </row>
    <row r="1049" spans="1:31" ht="15.75" collapsed="1" thickBot="1" x14ac:dyDescent="0.3">
      <c r="A1049" s="84"/>
      <c r="B1049" s="84"/>
      <c r="C1049" s="84"/>
      <c r="D1049" s="84"/>
      <c r="G1049" s="798" t="s">
        <v>4796</v>
      </c>
      <c r="H1049" s="799">
        <f>SUM(H1048:H1048)</f>
        <v>600000</v>
      </c>
      <c r="I1049" s="799">
        <f>SUM(I1048:I1048)</f>
        <v>21600</v>
      </c>
      <c r="J1049" s="800">
        <f>I1049/H1049</f>
        <v>3.5999999999999997E-2</v>
      </c>
      <c r="K1049" s="799">
        <f>H1049-I1049</f>
        <v>578400</v>
      </c>
      <c r="L1049" s="801">
        <v>0</v>
      </c>
      <c r="M1049" s="801">
        <v>0</v>
      </c>
      <c r="N1049" s="802"/>
      <c r="O1049" s="801">
        <f>L1049-M1049</f>
        <v>0</v>
      </c>
      <c r="P1049" s="801">
        <f>L1049+H1049</f>
        <v>600000</v>
      </c>
      <c r="Q1049" s="801">
        <f>M1049+I1049</f>
        <v>21600</v>
      </c>
      <c r="R1049" s="802">
        <f>Q1049/P1049</f>
        <v>3.5999999999999997E-2</v>
      </c>
      <c r="S1049" s="801">
        <f>P1049-Q1049</f>
        <v>578400</v>
      </c>
      <c r="T1049" s="84"/>
      <c r="AB1049" s="84">
        <f t="shared" si="202"/>
        <v>0</v>
      </c>
    </row>
    <row r="1050" spans="1:31" x14ac:dyDescent="0.25">
      <c r="A1050" s="84"/>
      <c r="B1050" s="84"/>
      <c r="C1050" s="84"/>
      <c r="D1050" s="84"/>
      <c r="G1050" s="811"/>
      <c r="H1050" s="812"/>
      <c r="I1050" s="812"/>
      <c r="J1050" s="813"/>
      <c r="K1050" s="812"/>
      <c r="L1050" s="814"/>
      <c r="M1050" s="814"/>
      <c r="N1050" s="815"/>
      <c r="O1050" s="814"/>
      <c r="P1050" s="814"/>
      <c r="Q1050" s="814"/>
      <c r="R1050" s="815"/>
      <c r="S1050" s="814"/>
      <c r="T1050" s="84"/>
      <c r="AB1050" s="84">
        <f t="shared" si="202"/>
        <v>0</v>
      </c>
    </row>
    <row r="1051" spans="1:31" ht="30" customHeight="1" x14ac:dyDescent="0.25">
      <c r="C1051" s="761" t="s">
        <v>4966</v>
      </c>
      <c r="D1051" s="770"/>
      <c r="G1051" s="869" t="s">
        <v>4057</v>
      </c>
      <c r="AB1051" s="84">
        <f t="shared" si="202"/>
        <v>0</v>
      </c>
    </row>
    <row r="1052" spans="1:31" s="972" customFormat="1" x14ac:dyDescent="0.25">
      <c r="A1052" s="767"/>
      <c r="B1052" s="768"/>
      <c r="C1052" s="968"/>
      <c r="D1052" s="986" t="s">
        <v>3830</v>
      </c>
      <c r="E1052" s="986"/>
      <c r="F1052" s="987"/>
      <c r="G1052" s="988" t="s">
        <v>175</v>
      </c>
      <c r="H1052" s="774"/>
      <c r="I1052" s="774"/>
      <c r="J1052" s="775"/>
      <c r="K1052" s="774"/>
      <c r="L1052" s="776"/>
      <c r="M1052" s="776"/>
      <c r="N1052" s="777"/>
      <c r="O1052" s="776"/>
      <c r="P1052" s="776"/>
      <c r="Q1052" s="776"/>
      <c r="R1052" s="777"/>
      <c r="S1052" s="970"/>
      <c r="T1052" s="971"/>
      <c r="V1052" s="973"/>
      <c r="W1052" s="973"/>
      <c r="X1052" s="833"/>
      <c r="Y1052" s="834"/>
      <c r="Z1052" s="830"/>
      <c r="AA1052" s="831"/>
      <c r="AB1052" s="972">
        <f t="shared" si="202"/>
        <v>0</v>
      </c>
    </row>
    <row r="1053" spans="1:31" s="972" customFormat="1" x14ac:dyDescent="0.25">
      <c r="A1053" s="767"/>
      <c r="B1053" s="768"/>
      <c r="C1053" s="968"/>
      <c r="D1053" s="986"/>
      <c r="E1053" s="976" t="s">
        <v>5236</v>
      </c>
      <c r="F1053" s="989">
        <v>421</v>
      </c>
      <c r="G1053" s="991" t="s">
        <v>3781</v>
      </c>
      <c r="H1053" s="774">
        <v>4700000</v>
      </c>
      <c r="I1053" s="774">
        <v>3548160</v>
      </c>
      <c r="J1053" s="775">
        <f>I1053/H1053</f>
        <v>0.75492765957446806</v>
      </c>
      <c r="K1053" s="774">
        <f>H1053-I1053</f>
        <v>1151840</v>
      </c>
      <c r="L1053" s="776">
        <v>0</v>
      </c>
      <c r="M1053" s="776">
        <v>0</v>
      </c>
      <c r="N1053" s="777"/>
      <c r="O1053" s="776">
        <v>0</v>
      </c>
      <c r="P1053" s="776">
        <f>H1053+L1053</f>
        <v>4700000</v>
      </c>
      <c r="Q1053" s="776">
        <f>I1053+M1053</f>
        <v>3548160</v>
      </c>
      <c r="R1053" s="777">
        <f>Q1053/P1053</f>
        <v>0.75492765957446806</v>
      </c>
      <c r="S1053" s="970">
        <f>P1053-Q1053</f>
        <v>1151840</v>
      </c>
      <c r="T1053" s="971"/>
      <c r="V1053" s="973">
        <f>(784080+350000)+3548160</f>
        <v>4682240</v>
      </c>
      <c r="W1053" s="973">
        <f>V1053-H1053</f>
        <v>-17760</v>
      </c>
      <c r="X1053" s="833"/>
      <c r="Y1053" s="834">
        <v>415000</v>
      </c>
      <c r="Z1053" s="830">
        <f>H1053-X1053+Y1053</f>
        <v>5115000</v>
      </c>
      <c r="AA1053" s="831">
        <v>4268880</v>
      </c>
      <c r="AB1053" s="972">
        <f t="shared" si="202"/>
        <v>846120</v>
      </c>
      <c r="AE1053" s="972">
        <f>H1053-AA1053</f>
        <v>431120</v>
      </c>
    </row>
    <row r="1054" spans="1:31" s="972" customFormat="1" ht="30" x14ac:dyDescent="0.25">
      <c r="A1054" s="767"/>
      <c r="B1054" s="768"/>
      <c r="C1054" s="968"/>
      <c r="D1054" s="986"/>
      <c r="E1054" s="976" t="s">
        <v>5335</v>
      </c>
      <c r="F1054" s="989">
        <v>451</v>
      </c>
      <c r="G1054" s="991" t="s">
        <v>4779</v>
      </c>
      <c r="H1054" s="763">
        <v>748996</v>
      </c>
      <c r="I1054" s="763">
        <v>580429.5</v>
      </c>
      <c r="J1054" s="764">
        <f>I1054/H1054</f>
        <v>0.77494339088593267</v>
      </c>
      <c r="K1054" s="763">
        <f>H1054-I1054</f>
        <v>168566.5</v>
      </c>
      <c r="L1054" s="765">
        <v>0</v>
      </c>
      <c r="M1054" s="765">
        <v>0</v>
      </c>
      <c r="N1054" s="766"/>
      <c r="O1054" s="765">
        <f>L1054-M1054</f>
        <v>0</v>
      </c>
      <c r="P1054" s="765">
        <f>L1054+H1054</f>
        <v>748996</v>
      </c>
      <c r="Q1054" s="765">
        <f>M1054+I1054</f>
        <v>580429.5</v>
      </c>
      <c r="R1054" s="766">
        <f>Q1054/P1054</f>
        <v>0.77494339088593267</v>
      </c>
      <c r="S1054" s="765">
        <f>P1054-Q1054</f>
        <v>168566.5</v>
      </c>
      <c r="T1054" s="971"/>
      <c r="V1054" s="973"/>
      <c r="W1054" s="973"/>
      <c r="X1054" s="833"/>
      <c r="Y1054" s="834"/>
      <c r="Z1054" s="830">
        <f>H1054-X1054+Y1054</f>
        <v>748996</v>
      </c>
      <c r="AA1054" s="831">
        <v>773906</v>
      </c>
      <c r="AB1054" s="972">
        <f t="shared" si="202"/>
        <v>-24910</v>
      </c>
      <c r="AE1054" s="972">
        <f>H1054-AA1054</f>
        <v>-24910</v>
      </c>
    </row>
    <row r="1055" spans="1:31" s="972" customFormat="1" ht="15.75" thickBot="1" x14ac:dyDescent="0.3">
      <c r="A1055" s="767"/>
      <c r="B1055" s="768"/>
      <c r="C1055" s="968"/>
      <c r="D1055" s="986"/>
      <c r="E1055" s="976" t="s">
        <v>5177</v>
      </c>
      <c r="F1055" s="989">
        <v>512</v>
      </c>
      <c r="G1055" s="991" t="s">
        <v>4142</v>
      </c>
      <c r="H1055" s="763">
        <v>0</v>
      </c>
      <c r="I1055" s="763">
        <v>520800</v>
      </c>
      <c r="J1055" s="764" t="e">
        <f>I1055/H1055</f>
        <v>#DIV/0!</v>
      </c>
      <c r="K1055" s="763">
        <f>H1055-I1055</f>
        <v>-520800</v>
      </c>
      <c r="L1055" s="765">
        <v>0</v>
      </c>
      <c r="M1055" s="765">
        <v>0</v>
      </c>
      <c r="N1055" s="766"/>
      <c r="O1055" s="765">
        <f>L1055-M1055</f>
        <v>0</v>
      </c>
      <c r="P1055" s="765">
        <f>L1055+H1055</f>
        <v>0</v>
      </c>
      <c r="Q1055" s="765">
        <f>M1055+I1055</f>
        <v>520800</v>
      </c>
      <c r="R1055" s="766" t="e">
        <f>Q1055/P1055</f>
        <v>#DIV/0!</v>
      </c>
      <c r="S1055" s="765">
        <f>P1055-Q1055</f>
        <v>-520800</v>
      </c>
      <c r="T1055" s="971"/>
      <c r="V1055" s="973"/>
      <c r="W1055" s="973"/>
      <c r="X1055" s="833"/>
      <c r="Y1055" s="834"/>
      <c r="Z1055" s="830">
        <f>H1055-X1055+Y1055</f>
        <v>0</v>
      </c>
      <c r="AA1055" s="831">
        <v>520800</v>
      </c>
      <c r="AB1055" s="972">
        <f t="shared" si="202"/>
        <v>-520800</v>
      </c>
      <c r="AE1055" s="972">
        <f>H1055-AA1055</f>
        <v>-520800</v>
      </c>
    </row>
    <row r="1056" spans="1:31" x14ac:dyDescent="0.25">
      <c r="A1056" s="84"/>
      <c r="B1056" s="84"/>
      <c r="C1056" s="84"/>
      <c r="D1056" s="84"/>
      <c r="E1056" s="784"/>
      <c r="F1056" s="785"/>
      <c r="G1056" s="786" t="s">
        <v>4968</v>
      </c>
      <c r="H1056" s="787"/>
      <c r="I1056" s="787"/>
      <c r="J1056" s="788"/>
      <c r="K1056" s="787"/>
      <c r="L1056" s="789"/>
      <c r="M1056" s="789"/>
      <c r="N1056" s="790"/>
      <c r="O1056" s="789"/>
      <c r="P1056" s="789"/>
      <c r="Q1056" s="789"/>
      <c r="R1056" s="790"/>
      <c r="S1056" s="877"/>
      <c r="T1056" s="84"/>
      <c r="AB1056" s="84">
        <f t="shared" si="202"/>
        <v>0</v>
      </c>
    </row>
    <row r="1057" spans="1:31" ht="15.75" thickBot="1" x14ac:dyDescent="0.3">
      <c r="A1057" s="84"/>
      <c r="B1057" s="84"/>
      <c r="C1057" s="84"/>
      <c r="D1057" s="84"/>
      <c r="E1057" s="791"/>
      <c r="F1057" s="792" t="s">
        <v>235</v>
      </c>
      <c r="G1057" s="793" t="s">
        <v>236</v>
      </c>
      <c r="H1057" s="794">
        <f>SUM(H1053:H1055)</f>
        <v>5448996</v>
      </c>
      <c r="I1057" s="794">
        <f>SUM(I1053:I1055)</f>
        <v>4649389.5</v>
      </c>
      <c r="J1057" s="795">
        <f>I1057/H1057</f>
        <v>0.8532561778353297</v>
      </c>
      <c r="K1057" s="794">
        <f>H1057-I1057</f>
        <v>799606.5</v>
      </c>
      <c r="L1057" s="796">
        <f>SUM(L1053:L1055)</f>
        <v>0</v>
      </c>
      <c r="M1057" s="796">
        <f>SUM(M1053:M1055)</f>
        <v>0</v>
      </c>
      <c r="N1057" s="797"/>
      <c r="O1057" s="796">
        <f>L1057-M1057</f>
        <v>0</v>
      </c>
      <c r="P1057" s="796">
        <f>L1057+H1057</f>
        <v>5448996</v>
      </c>
      <c r="Q1057" s="796">
        <f>M1057+I1057</f>
        <v>4649389.5</v>
      </c>
      <c r="R1057" s="797">
        <f>Q1057/P1057</f>
        <v>0.8532561778353297</v>
      </c>
      <c r="S1057" s="796">
        <f>P1057-Q1057</f>
        <v>799606.5</v>
      </c>
      <c r="T1057" s="84"/>
      <c r="AB1057" s="84">
        <f t="shared" si="202"/>
        <v>0</v>
      </c>
    </row>
    <row r="1058" spans="1:31" ht="15.75" thickBot="1" x14ac:dyDescent="0.3">
      <c r="A1058" s="84"/>
      <c r="B1058" s="84"/>
      <c r="C1058" s="84"/>
      <c r="D1058" s="84"/>
      <c r="G1058" s="798" t="s">
        <v>4969</v>
      </c>
      <c r="H1058" s="799">
        <f>SUM(H1057:H1057)</f>
        <v>5448996</v>
      </c>
      <c r="I1058" s="799">
        <f>SUM(I1057:I1057)</f>
        <v>4649389.5</v>
      </c>
      <c r="J1058" s="800">
        <f>I1058/H1058</f>
        <v>0.8532561778353297</v>
      </c>
      <c r="K1058" s="799">
        <f>H1058-I1058</f>
        <v>799606.5</v>
      </c>
      <c r="L1058" s="801">
        <f>SUM(L1057)</f>
        <v>0</v>
      </c>
      <c r="M1058" s="801">
        <f>SUM(M1057)</f>
        <v>0</v>
      </c>
      <c r="N1058" s="802"/>
      <c r="O1058" s="801">
        <f>L1058-M1058</f>
        <v>0</v>
      </c>
      <c r="P1058" s="801">
        <f>L1058+H1058</f>
        <v>5448996</v>
      </c>
      <c r="Q1058" s="801">
        <f>M1058+I1058</f>
        <v>4649389.5</v>
      </c>
      <c r="R1058" s="802">
        <f>Q1058/P1058</f>
        <v>0.8532561778353297</v>
      </c>
      <c r="S1058" s="801">
        <f>P1058-Q1058</f>
        <v>799606.5</v>
      </c>
      <c r="T1058" s="84"/>
      <c r="AB1058" s="84">
        <f t="shared" si="202"/>
        <v>0</v>
      </c>
    </row>
    <row r="1059" spans="1:31" ht="28.5" collapsed="1" x14ac:dyDescent="0.25">
      <c r="A1059" s="84"/>
      <c r="B1059" s="84"/>
      <c r="C1059" s="84"/>
      <c r="D1059" s="84"/>
      <c r="E1059" s="784"/>
      <c r="F1059" s="785"/>
      <c r="G1059" s="803" t="s">
        <v>4970</v>
      </c>
      <c r="H1059" s="804"/>
      <c r="I1059" s="805"/>
      <c r="J1059" s="806"/>
      <c r="K1059" s="805"/>
      <c r="L1059" s="807"/>
      <c r="M1059" s="808"/>
      <c r="N1059" s="809"/>
      <c r="O1059" s="808"/>
      <c r="P1059" s="808"/>
      <c r="Q1059" s="808"/>
      <c r="R1059" s="809"/>
      <c r="S1059" s="878"/>
      <c r="T1059" s="84"/>
      <c r="AB1059" s="84">
        <f t="shared" si="202"/>
        <v>0</v>
      </c>
    </row>
    <row r="1060" spans="1:31" ht="15.75" thickBot="1" x14ac:dyDescent="0.3">
      <c r="A1060" s="84"/>
      <c r="B1060" s="84"/>
      <c r="C1060" s="84"/>
      <c r="D1060" s="84"/>
      <c r="E1060" s="791"/>
      <c r="F1060" s="792" t="s">
        <v>235</v>
      </c>
      <c r="G1060" s="793" t="s">
        <v>236</v>
      </c>
      <c r="H1060" s="794">
        <f>SUM(H1057)</f>
        <v>5448996</v>
      </c>
      <c r="I1060" s="794">
        <f>SUM(I1057)</f>
        <v>4649389.5</v>
      </c>
      <c r="J1060" s="795">
        <f>I1060/H1060</f>
        <v>0.8532561778353297</v>
      </c>
      <c r="K1060" s="794">
        <f>H1060-I1060</f>
        <v>799606.5</v>
      </c>
      <c r="L1060" s="796">
        <f>SUM(L1057)</f>
        <v>0</v>
      </c>
      <c r="M1060" s="796">
        <f>SUM(M1057)</f>
        <v>0</v>
      </c>
      <c r="N1060" s="797"/>
      <c r="O1060" s="796">
        <f>L1060-M1060</f>
        <v>0</v>
      </c>
      <c r="P1060" s="796">
        <f>L1060+H1060</f>
        <v>5448996</v>
      </c>
      <c r="Q1060" s="796">
        <f>M1060+I1060</f>
        <v>4649389.5</v>
      </c>
      <c r="R1060" s="797">
        <f>Q1060/P1060</f>
        <v>0.8532561778353297</v>
      </c>
      <c r="S1060" s="796">
        <f>P1060-Q1060</f>
        <v>799606.5</v>
      </c>
      <c r="T1060" s="84"/>
      <c r="AB1060" s="84">
        <f t="shared" si="202"/>
        <v>0</v>
      </c>
    </row>
    <row r="1061" spans="1:31" ht="15.75" collapsed="1" thickBot="1" x14ac:dyDescent="0.3">
      <c r="A1061" s="84"/>
      <c r="B1061" s="84"/>
      <c r="C1061" s="84"/>
      <c r="D1061" s="84"/>
      <c r="G1061" s="798" t="s">
        <v>4971</v>
      </c>
      <c r="H1061" s="799">
        <f>SUM(H1060:H1060)</f>
        <v>5448996</v>
      </c>
      <c r="I1061" s="799">
        <f>SUM(I1060:I1060)</f>
        <v>4649389.5</v>
      </c>
      <c r="J1061" s="800">
        <f>I1061/H1061</f>
        <v>0.8532561778353297</v>
      </c>
      <c r="K1061" s="799">
        <f>H1061-I1061</f>
        <v>799606.5</v>
      </c>
      <c r="L1061" s="801">
        <v>0</v>
      </c>
      <c r="M1061" s="801">
        <v>0</v>
      </c>
      <c r="N1061" s="802"/>
      <c r="O1061" s="801">
        <f>L1061-M1061</f>
        <v>0</v>
      </c>
      <c r="P1061" s="801">
        <f>L1061+H1061</f>
        <v>5448996</v>
      </c>
      <c r="Q1061" s="801">
        <f>M1061+I1061</f>
        <v>4649389.5</v>
      </c>
      <c r="R1061" s="802">
        <f>Q1061/P1061</f>
        <v>0.8532561778353297</v>
      </c>
      <c r="S1061" s="801">
        <f>P1061-Q1061</f>
        <v>799606.5</v>
      </c>
      <c r="T1061" s="84"/>
      <c r="AB1061" s="84">
        <f t="shared" si="202"/>
        <v>0</v>
      </c>
    </row>
    <row r="1062" spans="1:31" x14ac:dyDescent="0.25">
      <c r="A1062" s="84"/>
      <c r="B1062" s="84"/>
      <c r="C1062" s="84"/>
      <c r="D1062" s="84"/>
      <c r="G1062" s="811"/>
      <c r="H1062" s="812"/>
      <c r="I1062" s="812"/>
      <c r="J1062" s="813"/>
      <c r="K1062" s="812"/>
      <c r="L1062" s="814"/>
      <c r="M1062" s="814"/>
      <c r="N1062" s="815"/>
      <c r="O1062" s="814"/>
      <c r="P1062" s="814"/>
      <c r="Q1062" s="814"/>
      <c r="R1062" s="815"/>
      <c r="S1062" s="814"/>
      <c r="T1062" s="84"/>
      <c r="AB1062" s="84">
        <f t="shared" si="202"/>
        <v>0</v>
      </c>
    </row>
    <row r="1063" spans="1:31" x14ac:dyDescent="0.25">
      <c r="E1063" s="784"/>
      <c r="F1063" s="785"/>
      <c r="G1063" s="821" t="s">
        <v>4798</v>
      </c>
      <c r="H1063" s="822"/>
      <c r="I1063" s="822"/>
      <c r="J1063" s="823"/>
      <c r="K1063" s="822"/>
      <c r="L1063" s="824"/>
      <c r="M1063" s="824"/>
      <c r="N1063" s="825"/>
      <c r="O1063" s="824"/>
      <c r="P1063" s="824"/>
      <c r="Q1063" s="824"/>
      <c r="R1063" s="825"/>
      <c r="S1063" s="880"/>
      <c r="AB1063" s="84">
        <f t="shared" si="202"/>
        <v>0</v>
      </c>
    </row>
    <row r="1064" spans="1:31" ht="15.75" thickBot="1" x14ac:dyDescent="0.3">
      <c r="E1064" s="791"/>
      <c r="F1064" s="792" t="s">
        <v>235</v>
      </c>
      <c r="G1064" s="793" t="s">
        <v>236</v>
      </c>
      <c r="H1064" s="794">
        <f>H1060+H1048</f>
        <v>6048996</v>
      </c>
      <c r="I1064" s="794">
        <f>I1060+I1048</f>
        <v>4670989.5</v>
      </c>
      <c r="J1064" s="795">
        <f>I1064/H1064</f>
        <v>0.77219252583403919</v>
      </c>
      <c r="K1064" s="794">
        <f>H1064-I1064</f>
        <v>1378006.5</v>
      </c>
      <c r="L1064" s="796">
        <v>0</v>
      </c>
      <c r="M1064" s="796">
        <v>0</v>
      </c>
      <c r="N1064" s="797"/>
      <c r="O1064" s="796">
        <f>L1064-M1064</f>
        <v>0</v>
      </c>
      <c r="P1064" s="796">
        <f>L1064+H1064</f>
        <v>6048996</v>
      </c>
      <c r="Q1064" s="796">
        <f>M1064+I1064</f>
        <v>4670989.5</v>
      </c>
      <c r="R1064" s="797">
        <f>Q1064/P1064</f>
        <v>0.77219252583403919</v>
      </c>
      <c r="S1064" s="796">
        <f>P1064-Q1064</f>
        <v>1378006.5</v>
      </c>
      <c r="AB1064" s="84">
        <f t="shared" si="202"/>
        <v>0</v>
      </c>
    </row>
    <row r="1065" spans="1:31" ht="15.75" thickBot="1" x14ac:dyDescent="0.3">
      <c r="G1065" s="798" t="s">
        <v>4799</v>
      </c>
      <c r="H1065" s="799">
        <f>SUM(H1064)</f>
        <v>6048996</v>
      </c>
      <c r="I1065" s="799">
        <f>SUM(I1064)</f>
        <v>4670989.5</v>
      </c>
      <c r="J1065" s="800">
        <f>SUM(J1064)</f>
        <v>0.77219252583403919</v>
      </c>
      <c r="K1065" s="799">
        <f>SUM(K1064)</f>
        <v>1378006.5</v>
      </c>
      <c r="L1065" s="801">
        <v>0</v>
      </c>
      <c r="M1065" s="801">
        <v>0</v>
      </c>
      <c r="N1065" s="802"/>
      <c r="O1065" s="801">
        <f>L1065-M1065</f>
        <v>0</v>
      </c>
      <c r="P1065" s="801">
        <f>L1065+H1065</f>
        <v>6048996</v>
      </c>
      <c r="Q1065" s="801">
        <f>M1065+I1065</f>
        <v>4670989.5</v>
      </c>
      <c r="R1065" s="802">
        <f>Q1065/P1065</f>
        <v>0.77219252583403919</v>
      </c>
      <c r="S1065" s="801">
        <f>P1065-Q1065</f>
        <v>1378006.5</v>
      </c>
      <c r="AB1065" s="84">
        <f t="shared" si="202"/>
        <v>0</v>
      </c>
    </row>
    <row r="1066" spans="1:31" x14ac:dyDescent="0.25">
      <c r="G1066" s="811"/>
      <c r="H1066" s="812"/>
      <c r="I1066" s="812"/>
      <c r="J1066" s="813"/>
      <c r="K1066" s="812"/>
      <c r="L1066" s="814"/>
      <c r="M1066" s="814"/>
      <c r="N1066" s="815"/>
      <c r="O1066" s="814"/>
      <c r="P1066" s="814"/>
      <c r="Q1066" s="814"/>
      <c r="R1066" s="815"/>
      <c r="S1066" s="814"/>
      <c r="AB1066" s="84">
        <f t="shared" si="202"/>
        <v>0</v>
      </c>
    </row>
    <row r="1067" spans="1:31" ht="28.5" x14ac:dyDescent="0.25">
      <c r="C1067" s="761" t="s">
        <v>3585</v>
      </c>
      <c r="G1067" s="869" t="s">
        <v>5239</v>
      </c>
      <c r="T1067" s="84"/>
      <c r="AB1067" s="84">
        <f t="shared" si="202"/>
        <v>0</v>
      </c>
    </row>
    <row r="1068" spans="1:31" x14ac:dyDescent="0.25">
      <c r="C1068" s="761" t="s">
        <v>4067</v>
      </c>
      <c r="D1068" s="770"/>
      <c r="G1068" s="869" t="s">
        <v>4063</v>
      </c>
      <c r="T1068" s="84"/>
      <c r="AB1068" s="84">
        <f t="shared" si="202"/>
        <v>0</v>
      </c>
    </row>
    <row r="1069" spans="1:31" x14ac:dyDescent="0.25">
      <c r="C1069" s="761"/>
      <c r="D1069" s="778">
        <v>912</v>
      </c>
      <c r="E1069" s="779"/>
      <c r="F1069" s="778"/>
      <c r="G1069" s="780" t="s">
        <v>216</v>
      </c>
      <c r="T1069" s="84"/>
      <c r="AB1069" s="84">
        <f t="shared" si="202"/>
        <v>0</v>
      </c>
    </row>
    <row r="1070" spans="1:31" ht="15.75" thickBot="1" x14ac:dyDescent="0.3">
      <c r="A1070" s="84"/>
      <c r="B1070" s="84"/>
      <c r="C1070" s="84"/>
      <c r="D1070" s="84"/>
      <c r="E1070" s="760" t="s">
        <v>5466</v>
      </c>
      <c r="F1070" s="782">
        <v>463</v>
      </c>
      <c r="G1070" s="783" t="s">
        <v>4787</v>
      </c>
      <c r="H1070" s="763">
        <v>17430768</v>
      </c>
      <c r="I1070" s="763">
        <f>11992892+2305217.6</f>
        <v>14298109.6</v>
      </c>
      <c r="J1070" s="764">
        <f>I1070/H1070</f>
        <v>0.82027995553609567</v>
      </c>
      <c r="K1070" s="763">
        <f>H1070-I1070</f>
        <v>3132658.4000000004</v>
      </c>
      <c r="L1070" s="765">
        <v>0</v>
      </c>
      <c r="M1070" s="765">
        <v>0</v>
      </c>
      <c r="O1070" s="765">
        <f>L1070-M1070</f>
        <v>0</v>
      </c>
      <c r="P1070" s="765">
        <f>L1070+H1070</f>
        <v>17430768</v>
      </c>
      <c r="Q1070" s="765">
        <f>M1070+I1070</f>
        <v>14298109.6</v>
      </c>
      <c r="R1070" s="766">
        <f>Q1070/P1070</f>
        <v>0.82027995553609567</v>
      </c>
      <c r="S1070" s="765">
        <f>P1070-Q1070</f>
        <v>3132658.4000000004</v>
      </c>
      <c r="T1070" s="84"/>
      <c r="Y1070" s="834">
        <v>1200000</v>
      </c>
      <c r="Z1070" s="830">
        <f>H1070-X1070+Y1070</f>
        <v>18630768</v>
      </c>
      <c r="AA1070" s="831">
        <v>18798150</v>
      </c>
      <c r="AB1070" s="84">
        <f t="shared" si="202"/>
        <v>-167382</v>
      </c>
      <c r="AE1070" s="84">
        <f>H1070-AA1070</f>
        <v>-1367382</v>
      </c>
    </row>
    <row r="1071" spans="1:31" x14ac:dyDescent="0.25">
      <c r="A1071" s="84"/>
      <c r="B1071" s="84"/>
      <c r="C1071" s="84"/>
      <c r="D1071" s="84"/>
      <c r="E1071" s="784"/>
      <c r="F1071" s="785"/>
      <c r="G1071" s="786" t="s">
        <v>4200</v>
      </c>
      <c r="H1071" s="787"/>
      <c r="I1071" s="787"/>
      <c r="J1071" s="788"/>
      <c r="K1071" s="787"/>
      <c r="L1071" s="789"/>
      <c r="M1071" s="789"/>
      <c r="N1071" s="790"/>
      <c r="O1071" s="789"/>
      <c r="P1071" s="789"/>
      <c r="Q1071" s="789"/>
      <c r="R1071" s="790"/>
      <c r="S1071" s="877"/>
      <c r="T1071" s="84"/>
      <c r="AB1071" s="84">
        <f t="shared" si="202"/>
        <v>0</v>
      </c>
    </row>
    <row r="1072" spans="1:31" ht="15.75" thickBot="1" x14ac:dyDescent="0.3">
      <c r="A1072" s="84"/>
      <c r="B1072" s="84"/>
      <c r="C1072" s="84"/>
      <c r="D1072" s="84"/>
      <c r="E1072" s="791"/>
      <c r="F1072" s="792" t="s">
        <v>235</v>
      </c>
      <c r="G1072" s="793" t="s">
        <v>236</v>
      </c>
      <c r="H1072" s="794">
        <f>SUM(H1070:H1070)</f>
        <v>17430768</v>
      </c>
      <c r="I1072" s="794">
        <f>SUM(I1070:I1070)</f>
        <v>14298109.6</v>
      </c>
      <c r="J1072" s="795">
        <f>I1072/H1072</f>
        <v>0.82027995553609567</v>
      </c>
      <c r="K1072" s="794">
        <f>H1072-I1072</f>
        <v>3132658.4000000004</v>
      </c>
      <c r="L1072" s="796">
        <v>0</v>
      </c>
      <c r="M1072" s="796">
        <v>0</v>
      </c>
      <c r="N1072" s="797"/>
      <c r="O1072" s="796">
        <f>L1072-M1072</f>
        <v>0</v>
      </c>
      <c r="P1072" s="796">
        <f>L1072+H1072</f>
        <v>17430768</v>
      </c>
      <c r="Q1072" s="796">
        <f>M1072+I1072</f>
        <v>14298109.6</v>
      </c>
      <c r="R1072" s="797">
        <f>Q1072/P1072</f>
        <v>0.82027995553609567</v>
      </c>
      <c r="S1072" s="796">
        <f>P1072-Q1072</f>
        <v>3132658.4000000004</v>
      </c>
      <c r="T1072" s="84"/>
      <c r="AB1072" s="84">
        <f t="shared" si="202"/>
        <v>0</v>
      </c>
    </row>
    <row r="1073" spans="1:31" ht="15.75" thickBot="1" x14ac:dyDescent="0.3">
      <c r="A1073" s="84"/>
      <c r="B1073" s="84"/>
      <c r="C1073" s="84"/>
      <c r="D1073" s="84"/>
      <c r="G1073" s="798" t="s">
        <v>4201</v>
      </c>
      <c r="H1073" s="799">
        <f>SUM(H1072:H1072)</f>
        <v>17430768</v>
      </c>
      <c r="I1073" s="799">
        <f>SUM(I1072:I1072)</f>
        <v>14298109.6</v>
      </c>
      <c r="J1073" s="800">
        <f>I1073/H1073</f>
        <v>0.82027995553609567</v>
      </c>
      <c r="K1073" s="799">
        <f>H1073-I1073</f>
        <v>3132658.4000000004</v>
      </c>
      <c r="L1073" s="801">
        <v>0</v>
      </c>
      <c r="M1073" s="801">
        <v>0</v>
      </c>
      <c r="N1073" s="802"/>
      <c r="O1073" s="801">
        <f>L1073-M1073</f>
        <v>0</v>
      </c>
      <c r="P1073" s="801">
        <f>L1073+H1073</f>
        <v>17430768</v>
      </c>
      <c r="Q1073" s="801">
        <f>M1073+I1073</f>
        <v>14298109.6</v>
      </c>
      <c r="R1073" s="802">
        <f>Q1073/P1073</f>
        <v>0.82027995553609567</v>
      </c>
      <c r="S1073" s="801">
        <f>P1073-Q1073</f>
        <v>3132658.4000000004</v>
      </c>
      <c r="T1073" s="84"/>
      <c r="AB1073" s="84">
        <f t="shared" si="202"/>
        <v>0</v>
      </c>
    </row>
    <row r="1074" spans="1:31" ht="28.5" collapsed="1" x14ac:dyDescent="0.25">
      <c r="A1074" s="84"/>
      <c r="B1074" s="84"/>
      <c r="C1074" s="84"/>
      <c r="D1074" s="84"/>
      <c r="E1074" s="784"/>
      <c r="F1074" s="785"/>
      <c r="G1074" s="803" t="s">
        <v>4208</v>
      </c>
      <c r="H1074" s="804"/>
      <c r="I1074" s="805"/>
      <c r="J1074" s="806"/>
      <c r="K1074" s="805"/>
      <c r="L1074" s="807"/>
      <c r="M1074" s="808"/>
      <c r="N1074" s="809"/>
      <c r="O1074" s="808"/>
      <c r="P1074" s="808"/>
      <c r="Q1074" s="808"/>
      <c r="R1074" s="809"/>
      <c r="S1074" s="878"/>
      <c r="T1074" s="84"/>
      <c r="AB1074" s="84">
        <f t="shared" si="202"/>
        <v>0</v>
      </c>
    </row>
    <row r="1075" spans="1:31" ht="15.75" thickBot="1" x14ac:dyDescent="0.3">
      <c r="A1075" s="84"/>
      <c r="B1075" s="84"/>
      <c r="C1075" s="84"/>
      <c r="D1075" s="84"/>
      <c r="E1075" s="791"/>
      <c r="F1075" s="792" t="s">
        <v>235</v>
      </c>
      <c r="G1075" s="793" t="s">
        <v>236</v>
      </c>
      <c r="H1075" s="794">
        <f>SUM(H1070:H1070)</f>
        <v>17430768</v>
      </c>
      <c r="I1075" s="794">
        <f>SUM(I1070:I1070)</f>
        <v>14298109.6</v>
      </c>
      <c r="J1075" s="795">
        <f>I1075/H1075</f>
        <v>0.82027995553609567</v>
      </c>
      <c r="K1075" s="794">
        <f>H1075-I1075</f>
        <v>3132658.4000000004</v>
      </c>
      <c r="L1075" s="796">
        <v>0</v>
      </c>
      <c r="M1075" s="796">
        <v>0</v>
      </c>
      <c r="N1075" s="797"/>
      <c r="O1075" s="796">
        <f>L1075-M1075</f>
        <v>0</v>
      </c>
      <c r="P1075" s="796">
        <f>L1075+H1075</f>
        <v>17430768</v>
      </c>
      <c r="Q1075" s="796">
        <f>M1075+I1075</f>
        <v>14298109.6</v>
      </c>
      <c r="R1075" s="797">
        <f>Q1075/P1075</f>
        <v>0.82027995553609567</v>
      </c>
      <c r="S1075" s="796">
        <f>P1075-Q1075</f>
        <v>3132658.4000000004</v>
      </c>
      <c r="T1075" s="84"/>
      <c r="AB1075" s="84">
        <f t="shared" si="202"/>
        <v>0</v>
      </c>
    </row>
    <row r="1076" spans="1:31" ht="15.75" collapsed="1" thickBot="1" x14ac:dyDescent="0.3">
      <c r="A1076" s="84"/>
      <c r="B1076" s="84"/>
      <c r="C1076" s="84"/>
      <c r="D1076" s="84"/>
      <c r="G1076" s="798" t="s">
        <v>4209</v>
      </c>
      <c r="H1076" s="799">
        <f>SUM(H1075:H1075)</f>
        <v>17430768</v>
      </c>
      <c r="I1076" s="799">
        <f>SUM(I1075:I1075)</f>
        <v>14298109.6</v>
      </c>
      <c r="J1076" s="800">
        <f>I1076/H1076</f>
        <v>0.82027995553609567</v>
      </c>
      <c r="K1076" s="799">
        <f>H1076-I1076</f>
        <v>3132658.4000000004</v>
      </c>
      <c r="L1076" s="801">
        <v>0</v>
      </c>
      <c r="M1076" s="801">
        <v>0</v>
      </c>
      <c r="N1076" s="802"/>
      <c r="O1076" s="801">
        <f>L1076-M1076</f>
        <v>0</v>
      </c>
      <c r="P1076" s="801">
        <f>L1076+H1076</f>
        <v>17430768</v>
      </c>
      <c r="Q1076" s="801">
        <f>M1076+I1076</f>
        <v>14298109.6</v>
      </c>
      <c r="R1076" s="802">
        <f>Q1076/P1076</f>
        <v>0.82027995553609567</v>
      </c>
      <c r="S1076" s="801">
        <f>P1076-Q1076</f>
        <v>3132658.4000000004</v>
      </c>
      <c r="T1076" s="84"/>
      <c r="AB1076" s="84">
        <f t="shared" si="202"/>
        <v>0</v>
      </c>
    </row>
    <row r="1077" spans="1:31" x14ac:dyDescent="0.25">
      <c r="AB1077" s="84">
        <f t="shared" si="202"/>
        <v>0</v>
      </c>
    </row>
    <row r="1078" spans="1:31" x14ac:dyDescent="0.25">
      <c r="C1078" s="761" t="s">
        <v>4450</v>
      </c>
      <c r="D1078" s="770"/>
      <c r="G1078" s="869" t="s">
        <v>5414</v>
      </c>
      <c r="T1078" s="84"/>
      <c r="AB1078" s="84">
        <f t="shared" ref="AB1078:AB1086" si="211">Z1078-AA1078</f>
        <v>0</v>
      </c>
    </row>
    <row r="1079" spans="1:31" x14ac:dyDescent="0.25">
      <c r="C1079" s="761"/>
      <c r="D1079" s="778">
        <v>912</v>
      </c>
      <c r="E1079" s="779"/>
      <c r="F1079" s="778"/>
      <c r="G1079" s="780" t="s">
        <v>216</v>
      </c>
      <c r="T1079" s="84"/>
      <c r="AB1079" s="84">
        <f t="shared" si="211"/>
        <v>0</v>
      </c>
    </row>
    <row r="1080" spans="1:31" ht="15.75" thickBot="1" x14ac:dyDescent="0.3">
      <c r="A1080" s="84"/>
      <c r="B1080" s="84"/>
      <c r="C1080" s="84"/>
      <c r="D1080" s="84"/>
      <c r="E1080" s="760" t="s">
        <v>5467</v>
      </c>
      <c r="F1080" s="782">
        <v>472</v>
      </c>
      <c r="G1080" s="783" t="s">
        <v>3817</v>
      </c>
      <c r="H1080" s="763">
        <v>15957000</v>
      </c>
      <c r="I1080" s="763">
        <v>0</v>
      </c>
      <c r="K1080" s="763">
        <f>H1080-I1080</f>
        <v>15957000</v>
      </c>
      <c r="L1080" s="765">
        <v>0</v>
      </c>
      <c r="M1080" s="765">
        <v>0</v>
      </c>
      <c r="O1080" s="765">
        <f>L1080-M1080</f>
        <v>0</v>
      </c>
      <c r="P1080" s="765">
        <f>L1080+H1080</f>
        <v>15957000</v>
      </c>
      <c r="Q1080" s="765">
        <f>M1080+I1080</f>
        <v>0</v>
      </c>
      <c r="R1080" s="766">
        <f>Q1080/P1080</f>
        <v>0</v>
      </c>
      <c r="S1080" s="765">
        <f>P1080-Q1080</f>
        <v>15957000</v>
      </c>
      <c r="T1080" s="84"/>
      <c r="Z1080" s="830">
        <f>H1080-X1080+Y1080</f>
        <v>15957000</v>
      </c>
      <c r="AA1080" s="831">
        <v>0</v>
      </c>
      <c r="AB1080" s="84">
        <f t="shared" si="211"/>
        <v>15957000</v>
      </c>
      <c r="AE1080" s="84">
        <f>H1080-AA1080</f>
        <v>15957000</v>
      </c>
    </row>
    <row r="1081" spans="1:31" x14ac:dyDescent="0.25">
      <c r="A1081" s="84"/>
      <c r="B1081" s="84"/>
      <c r="C1081" s="84"/>
      <c r="D1081" s="84"/>
      <c r="E1081" s="784"/>
      <c r="F1081" s="785"/>
      <c r="G1081" s="786" t="s">
        <v>4200</v>
      </c>
      <c r="H1081" s="787"/>
      <c r="I1081" s="787"/>
      <c r="J1081" s="788"/>
      <c r="K1081" s="787"/>
      <c r="L1081" s="789"/>
      <c r="M1081" s="789"/>
      <c r="N1081" s="790"/>
      <c r="O1081" s="789"/>
      <c r="P1081" s="789"/>
      <c r="Q1081" s="789"/>
      <c r="R1081" s="790"/>
      <c r="S1081" s="877"/>
      <c r="T1081" s="84"/>
      <c r="AB1081" s="84">
        <f t="shared" si="211"/>
        <v>0</v>
      </c>
    </row>
    <row r="1082" spans="1:31" ht="15.75" thickBot="1" x14ac:dyDescent="0.3">
      <c r="A1082" s="84"/>
      <c r="B1082" s="84"/>
      <c r="C1082" s="84"/>
      <c r="D1082" s="84"/>
      <c r="E1082" s="791"/>
      <c r="F1082" s="792" t="s">
        <v>235</v>
      </c>
      <c r="G1082" s="793" t="s">
        <v>236</v>
      </c>
      <c r="H1082" s="794">
        <f>SUM(H1080)</f>
        <v>15957000</v>
      </c>
      <c r="I1082" s="794">
        <f>SUM(I1080)</f>
        <v>0</v>
      </c>
      <c r="J1082" s="795"/>
      <c r="K1082" s="794">
        <f>H1082-I1082</f>
        <v>15957000</v>
      </c>
      <c r="L1082" s="796">
        <f>SUM(L1080)</f>
        <v>0</v>
      </c>
      <c r="M1082" s="796">
        <f>SUM(M1080)</f>
        <v>0</v>
      </c>
      <c r="N1082" s="797"/>
      <c r="O1082" s="796">
        <f>SUM(O1080)</f>
        <v>0</v>
      </c>
      <c r="P1082" s="796">
        <f>L1082+H1082</f>
        <v>15957000</v>
      </c>
      <c r="Q1082" s="796">
        <f>M1082+I1082</f>
        <v>0</v>
      </c>
      <c r="R1082" s="797">
        <f>Q1082/P1082</f>
        <v>0</v>
      </c>
      <c r="S1082" s="796">
        <f>P1082-Q1082</f>
        <v>15957000</v>
      </c>
      <c r="T1082" s="84"/>
      <c r="AB1082" s="84">
        <f t="shared" si="211"/>
        <v>0</v>
      </c>
    </row>
    <row r="1083" spans="1:31" ht="15.75" thickBot="1" x14ac:dyDescent="0.3">
      <c r="A1083" s="84"/>
      <c r="B1083" s="84"/>
      <c r="C1083" s="84"/>
      <c r="D1083" s="84"/>
      <c r="G1083" s="798" t="s">
        <v>4201</v>
      </c>
      <c r="H1083" s="799">
        <f>SUM(H1082:H1082)</f>
        <v>15957000</v>
      </c>
      <c r="I1083" s="799">
        <f>SUM(I1082:I1082)</f>
        <v>0</v>
      </c>
      <c r="J1083" s="800"/>
      <c r="K1083" s="799">
        <f>H1083-I1083</f>
        <v>15957000</v>
      </c>
      <c r="L1083" s="801">
        <f>SUM(L1082:L1082)</f>
        <v>0</v>
      </c>
      <c r="M1083" s="801">
        <f>SUM(M1082:M1082)</f>
        <v>0</v>
      </c>
      <c r="N1083" s="802"/>
      <c r="O1083" s="801">
        <f>SUM(O1082:O1082)</f>
        <v>0</v>
      </c>
      <c r="P1083" s="801">
        <f>L1083+H1083</f>
        <v>15957000</v>
      </c>
      <c r="Q1083" s="801">
        <f>M1083+I1083</f>
        <v>0</v>
      </c>
      <c r="R1083" s="802">
        <f>Q1083/P1083</f>
        <v>0</v>
      </c>
      <c r="S1083" s="801">
        <f>P1083-Q1083</f>
        <v>15957000</v>
      </c>
      <c r="T1083" s="84"/>
      <c r="AB1083" s="84">
        <f t="shared" si="211"/>
        <v>0</v>
      </c>
    </row>
    <row r="1084" spans="1:31" collapsed="1" x14ac:dyDescent="0.25">
      <c r="A1084" s="84"/>
      <c r="B1084" s="84"/>
      <c r="C1084" s="84"/>
      <c r="D1084" s="84"/>
      <c r="E1084" s="784"/>
      <c r="F1084" s="785"/>
      <c r="G1084" s="803" t="s">
        <v>5415</v>
      </c>
      <c r="H1084" s="804"/>
      <c r="I1084" s="805"/>
      <c r="J1084" s="806"/>
      <c r="K1084" s="805"/>
      <c r="L1084" s="807"/>
      <c r="M1084" s="808"/>
      <c r="N1084" s="809"/>
      <c r="O1084" s="808"/>
      <c r="P1084" s="808"/>
      <c r="Q1084" s="808"/>
      <c r="R1084" s="809"/>
      <c r="S1084" s="878"/>
      <c r="T1084" s="84"/>
      <c r="AB1084" s="84">
        <f t="shared" si="211"/>
        <v>0</v>
      </c>
    </row>
    <row r="1085" spans="1:31" ht="15.75" thickBot="1" x14ac:dyDescent="0.3">
      <c r="A1085" s="84"/>
      <c r="B1085" s="84"/>
      <c r="C1085" s="84"/>
      <c r="D1085" s="84"/>
      <c r="E1085" s="791"/>
      <c r="F1085" s="792" t="s">
        <v>235</v>
      </c>
      <c r="G1085" s="793" t="s">
        <v>236</v>
      </c>
      <c r="H1085" s="794">
        <f>SUM(H1080:H1080)</f>
        <v>15957000</v>
      </c>
      <c r="I1085" s="794">
        <f>SUM(I1080:I1080)</f>
        <v>0</v>
      </c>
      <c r="J1085" s="795"/>
      <c r="K1085" s="794">
        <f>H1085-I1085</f>
        <v>15957000</v>
      </c>
      <c r="L1085" s="796">
        <f>SUM(L1080:L1080)</f>
        <v>0</v>
      </c>
      <c r="M1085" s="796">
        <f>SUM(M1080:M1080)</f>
        <v>0</v>
      </c>
      <c r="N1085" s="797"/>
      <c r="O1085" s="796">
        <f>SUM(O1080:O1080)</f>
        <v>0</v>
      </c>
      <c r="P1085" s="796">
        <f>L1085+H1085</f>
        <v>15957000</v>
      </c>
      <c r="Q1085" s="796">
        <f>M1085+I1085</f>
        <v>0</v>
      </c>
      <c r="R1085" s="797">
        <f>Q1085/P1085</f>
        <v>0</v>
      </c>
      <c r="S1085" s="796">
        <f>P1085-Q1085</f>
        <v>15957000</v>
      </c>
      <c r="T1085" s="84"/>
      <c r="AB1085" s="84">
        <f t="shared" si="211"/>
        <v>0</v>
      </c>
    </row>
    <row r="1086" spans="1:31" ht="15.75" collapsed="1" thickBot="1" x14ac:dyDescent="0.3">
      <c r="A1086" s="84"/>
      <c r="B1086" s="84"/>
      <c r="C1086" s="84"/>
      <c r="D1086" s="84"/>
      <c r="G1086" s="798" t="s">
        <v>5416</v>
      </c>
      <c r="H1086" s="799">
        <f>SUM(H1085:H1085)</f>
        <v>15957000</v>
      </c>
      <c r="I1086" s="799">
        <f>SUM(I1085:I1085)</f>
        <v>0</v>
      </c>
      <c r="J1086" s="800"/>
      <c r="K1086" s="799">
        <f>H1086-I1086</f>
        <v>15957000</v>
      </c>
      <c r="L1086" s="801">
        <f>SUM(L1085:L1085)</f>
        <v>0</v>
      </c>
      <c r="M1086" s="801">
        <v>0</v>
      </c>
      <c r="N1086" s="802"/>
      <c r="O1086" s="801">
        <v>0</v>
      </c>
      <c r="P1086" s="801">
        <f>L1086+H1086</f>
        <v>15957000</v>
      </c>
      <c r="Q1086" s="801">
        <f>M1086+I1086</f>
        <v>0</v>
      </c>
      <c r="R1086" s="802">
        <f>Q1086/P1086</f>
        <v>0</v>
      </c>
      <c r="S1086" s="801">
        <f>P1086-Q1086</f>
        <v>15957000</v>
      </c>
      <c r="T1086" s="84"/>
      <c r="AB1086" s="84">
        <f t="shared" si="211"/>
        <v>0</v>
      </c>
    </row>
    <row r="1088" spans="1:31" x14ac:dyDescent="0.25">
      <c r="A1088" s="84"/>
      <c r="B1088" s="84"/>
      <c r="C1088" s="84"/>
      <c r="D1088" s="84"/>
      <c r="E1088" s="784"/>
      <c r="F1088" s="785"/>
      <c r="G1088" s="821" t="s">
        <v>4202</v>
      </c>
      <c r="H1088" s="822"/>
      <c r="I1088" s="822"/>
      <c r="J1088" s="823"/>
      <c r="K1088" s="822"/>
      <c r="L1088" s="824"/>
      <c r="M1088" s="824"/>
      <c r="N1088" s="825"/>
      <c r="O1088" s="824"/>
      <c r="P1088" s="824"/>
      <c r="Q1088" s="824"/>
      <c r="R1088" s="825"/>
      <c r="S1088" s="880"/>
      <c r="T1088" s="84"/>
      <c r="AB1088" s="84">
        <f t="shared" ref="AB1088:AB1153" si="212">Z1088-AA1088</f>
        <v>0</v>
      </c>
    </row>
    <row r="1089" spans="1:31" ht="15.75" thickBot="1" x14ac:dyDescent="0.3">
      <c r="A1089" s="84"/>
      <c r="B1089" s="84"/>
      <c r="C1089" s="84"/>
      <c r="D1089" s="84"/>
      <c r="E1089" s="791"/>
      <c r="F1089" s="792" t="s">
        <v>235</v>
      </c>
      <c r="G1089" s="793" t="s">
        <v>236</v>
      </c>
      <c r="H1089" s="794">
        <f>SUM(H1070)+H1080</f>
        <v>33387768</v>
      </c>
      <c r="I1089" s="794">
        <f>SUM(I1070)</f>
        <v>14298109.6</v>
      </c>
      <c r="J1089" s="795">
        <f>I1089/H1089</f>
        <v>0.42824394850233771</v>
      </c>
      <c r="K1089" s="794">
        <f>H1089-I1089</f>
        <v>19089658.399999999</v>
      </c>
      <c r="L1089" s="796">
        <v>0</v>
      </c>
      <c r="M1089" s="796">
        <v>0</v>
      </c>
      <c r="N1089" s="797"/>
      <c r="O1089" s="796">
        <f>L1089-M1089</f>
        <v>0</v>
      </c>
      <c r="P1089" s="796">
        <f>L1089+H1089</f>
        <v>33387768</v>
      </c>
      <c r="Q1089" s="796">
        <f>M1089+I1089</f>
        <v>14298109.6</v>
      </c>
      <c r="R1089" s="797">
        <f>Q1089/P1089</f>
        <v>0.42824394850233771</v>
      </c>
      <c r="S1089" s="796">
        <f>P1089-Q1089</f>
        <v>19089658.399999999</v>
      </c>
      <c r="T1089" s="84"/>
      <c r="AB1089" s="84">
        <f t="shared" si="212"/>
        <v>0</v>
      </c>
    </row>
    <row r="1090" spans="1:31" ht="15.75" thickBot="1" x14ac:dyDescent="0.3">
      <c r="A1090" s="84"/>
      <c r="B1090" s="84"/>
      <c r="C1090" s="84"/>
      <c r="D1090" s="84"/>
      <c r="G1090" s="798" t="s">
        <v>4203</v>
      </c>
      <c r="H1090" s="799">
        <f>SUM(H1089:H1089)</f>
        <v>33387768</v>
      </c>
      <c r="I1090" s="799">
        <f>SUM(I1089:I1089)</f>
        <v>14298109.6</v>
      </c>
      <c r="J1090" s="800">
        <f>I1090/H1090</f>
        <v>0.42824394850233771</v>
      </c>
      <c r="K1090" s="799">
        <f>H1090-I1090</f>
        <v>19089658.399999999</v>
      </c>
      <c r="L1090" s="801">
        <v>0</v>
      </c>
      <c r="M1090" s="801">
        <v>0</v>
      </c>
      <c r="N1090" s="802"/>
      <c r="O1090" s="801">
        <f>L1090-M1090</f>
        <v>0</v>
      </c>
      <c r="P1090" s="801">
        <f>L1090+H1090</f>
        <v>33387768</v>
      </c>
      <c r="Q1090" s="801">
        <f>M1090+I1090</f>
        <v>14298109.6</v>
      </c>
      <c r="R1090" s="802">
        <f>Q1090/P1090</f>
        <v>0.42824394850233771</v>
      </c>
      <c r="S1090" s="801">
        <f>P1090-Q1090</f>
        <v>19089658.399999999</v>
      </c>
      <c r="T1090" s="84"/>
      <c r="AB1090" s="84">
        <f t="shared" si="212"/>
        <v>0</v>
      </c>
    </row>
    <row r="1091" spans="1:31" x14ac:dyDescent="0.25">
      <c r="G1091" s="811"/>
      <c r="H1091" s="812"/>
      <c r="I1091" s="812"/>
      <c r="J1091" s="813"/>
      <c r="K1091" s="812"/>
      <c r="L1091" s="814"/>
      <c r="M1091" s="814"/>
      <c r="N1091" s="815"/>
      <c r="O1091" s="814"/>
      <c r="P1091" s="814"/>
      <c r="Q1091" s="814"/>
      <c r="R1091" s="815"/>
      <c r="S1091" s="814"/>
      <c r="AB1091" s="84">
        <f t="shared" si="212"/>
        <v>0</v>
      </c>
    </row>
    <row r="1092" spans="1:31" ht="30" customHeight="1" x14ac:dyDescent="0.25">
      <c r="C1092" s="761" t="s">
        <v>3588</v>
      </c>
      <c r="G1092" s="869" t="s">
        <v>5240</v>
      </c>
      <c r="T1092" s="84"/>
      <c r="AB1092" s="84">
        <f t="shared" si="212"/>
        <v>0</v>
      </c>
    </row>
    <row r="1093" spans="1:31" x14ac:dyDescent="0.25">
      <c r="C1093" s="761" t="s">
        <v>4186</v>
      </c>
      <c r="D1093" s="770"/>
      <c r="G1093" s="869" t="s">
        <v>4063</v>
      </c>
      <c r="T1093" s="84"/>
      <c r="AB1093" s="84">
        <f t="shared" si="212"/>
        <v>0</v>
      </c>
    </row>
    <row r="1094" spans="1:31" x14ac:dyDescent="0.25">
      <c r="C1094" s="761"/>
      <c r="D1094" s="778">
        <v>920</v>
      </c>
      <c r="E1094" s="779"/>
      <c r="F1094" s="778"/>
      <c r="G1094" s="780" t="s">
        <v>221</v>
      </c>
      <c r="T1094" s="84"/>
      <c r="AB1094" s="84">
        <f t="shared" si="212"/>
        <v>0</v>
      </c>
    </row>
    <row r="1095" spans="1:31" ht="15.75" thickBot="1" x14ac:dyDescent="0.3">
      <c r="A1095" s="84"/>
      <c r="B1095" s="84"/>
      <c r="C1095" s="84"/>
      <c r="D1095" s="84"/>
      <c r="E1095" s="760" t="s">
        <v>5469</v>
      </c>
      <c r="F1095" s="782">
        <v>463</v>
      </c>
      <c r="G1095" s="783" t="s">
        <v>4787</v>
      </c>
      <c r="H1095" s="763">
        <v>10000000</v>
      </c>
      <c r="I1095" s="763">
        <f>5461439.32+193899.4</f>
        <v>5655338.7200000007</v>
      </c>
      <c r="J1095" s="764">
        <f>I1095/H1095</f>
        <v>0.56553387200000005</v>
      </c>
      <c r="K1095" s="763">
        <f>H1095-I1095</f>
        <v>4344661.2799999993</v>
      </c>
      <c r="L1095" s="765">
        <v>0</v>
      </c>
      <c r="M1095" s="765">
        <v>0</v>
      </c>
      <c r="O1095" s="765">
        <f>L1095-M1095</f>
        <v>0</v>
      </c>
      <c r="P1095" s="765">
        <f>L1095+H1095</f>
        <v>10000000</v>
      </c>
      <c r="Q1095" s="765">
        <f>M1095+I1095</f>
        <v>5655338.7200000007</v>
      </c>
      <c r="R1095" s="766">
        <f>Q1095/P1095</f>
        <v>0.56553387200000005</v>
      </c>
      <c r="S1095" s="765">
        <f>P1095-Q1095</f>
        <v>4344661.2799999993</v>
      </c>
      <c r="T1095" s="84"/>
      <c r="Y1095" s="834">
        <v>1000000</v>
      </c>
      <c r="Z1095" s="830">
        <f>H1095-X1095+Y1095</f>
        <v>11000000</v>
      </c>
      <c r="AA1095" s="831">
        <v>5500000</v>
      </c>
      <c r="AB1095" s="84">
        <f t="shared" si="212"/>
        <v>5500000</v>
      </c>
      <c r="AE1095" s="84">
        <f>H1095-AA1095</f>
        <v>4500000</v>
      </c>
    </row>
    <row r="1096" spans="1:31" x14ac:dyDescent="0.25">
      <c r="A1096" s="84"/>
      <c r="B1096" s="84"/>
      <c r="C1096" s="84"/>
      <c r="D1096" s="84"/>
      <c r="E1096" s="784"/>
      <c r="F1096" s="785"/>
      <c r="G1096" s="786" t="s">
        <v>4204</v>
      </c>
      <c r="H1096" s="787"/>
      <c r="I1096" s="787"/>
      <c r="J1096" s="788"/>
      <c r="K1096" s="787"/>
      <c r="L1096" s="789"/>
      <c r="M1096" s="789"/>
      <c r="N1096" s="790"/>
      <c r="O1096" s="789"/>
      <c r="P1096" s="789"/>
      <c r="Q1096" s="789"/>
      <c r="R1096" s="790"/>
      <c r="S1096" s="877"/>
      <c r="T1096" s="84"/>
      <c r="AB1096" s="84">
        <f t="shared" si="212"/>
        <v>0</v>
      </c>
    </row>
    <row r="1097" spans="1:31" ht="15.75" thickBot="1" x14ac:dyDescent="0.3">
      <c r="A1097" s="84"/>
      <c r="B1097" s="84"/>
      <c r="C1097" s="84"/>
      <c r="D1097" s="84"/>
      <c r="E1097" s="791"/>
      <c r="F1097" s="792" t="s">
        <v>235</v>
      </c>
      <c r="G1097" s="793" t="s">
        <v>236</v>
      </c>
      <c r="H1097" s="794">
        <f>SUM(H1095)</f>
        <v>10000000</v>
      </c>
      <c r="I1097" s="794">
        <f>SUM(I1095)</f>
        <v>5655338.7200000007</v>
      </c>
      <c r="J1097" s="795">
        <f>I1097/H1097</f>
        <v>0.56553387200000005</v>
      </c>
      <c r="K1097" s="794">
        <f>H1097-I1097</f>
        <v>4344661.2799999993</v>
      </c>
      <c r="L1097" s="796">
        <f>SUM(L1095)</f>
        <v>0</v>
      </c>
      <c r="M1097" s="796">
        <f>SUM(M1095)</f>
        <v>0</v>
      </c>
      <c r="N1097" s="797"/>
      <c r="O1097" s="796">
        <f>SUM(O1095)</f>
        <v>0</v>
      </c>
      <c r="P1097" s="796">
        <f>L1097+H1097</f>
        <v>10000000</v>
      </c>
      <c r="Q1097" s="796">
        <f>M1097+I1097</f>
        <v>5655338.7200000007</v>
      </c>
      <c r="R1097" s="797">
        <f>Q1097/P1097</f>
        <v>0.56553387200000005</v>
      </c>
      <c r="S1097" s="796">
        <f>P1097-Q1097</f>
        <v>4344661.2799999993</v>
      </c>
      <c r="T1097" s="84"/>
      <c r="AB1097" s="84">
        <f t="shared" si="212"/>
        <v>0</v>
      </c>
    </row>
    <row r="1098" spans="1:31" ht="15.75" thickBot="1" x14ac:dyDescent="0.3">
      <c r="A1098" s="84"/>
      <c r="B1098" s="84"/>
      <c r="C1098" s="84"/>
      <c r="D1098" s="84"/>
      <c r="G1098" s="798" t="s">
        <v>4205</v>
      </c>
      <c r="H1098" s="799">
        <f>SUM(H1097:H1097)</f>
        <v>10000000</v>
      </c>
      <c r="I1098" s="799">
        <f>SUM(I1097:I1097)</f>
        <v>5655338.7200000007</v>
      </c>
      <c r="J1098" s="800">
        <f>I1098/H1098</f>
        <v>0.56553387200000005</v>
      </c>
      <c r="K1098" s="799">
        <f>H1098-I1098</f>
        <v>4344661.2799999993</v>
      </c>
      <c r="L1098" s="801">
        <f>SUM(L1097:L1097)</f>
        <v>0</v>
      </c>
      <c r="M1098" s="801">
        <f>SUM(M1097:M1097)</f>
        <v>0</v>
      </c>
      <c r="N1098" s="802"/>
      <c r="O1098" s="801">
        <f>SUM(O1097:O1097)</f>
        <v>0</v>
      </c>
      <c r="P1098" s="801">
        <f>L1098+H1098</f>
        <v>10000000</v>
      </c>
      <c r="Q1098" s="801">
        <f>M1098+I1098</f>
        <v>5655338.7200000007</v>
      </c>
      <c r="R1098" s="802">
        <f>Q1098/P1098</f>
        <v>0.56553387200000005</v>
      </c>
      <c r="S1098" s="801">
        <f>P1098-Q1098</f>
        <v>4344661.2799999993</v>
      </c>
      <c r="T1098" s="84"/>
      <c r="AB1098" s="84">
        <f t="shared" si="212"/>
        <v>0</v>
      </c>
    </row>
    <row r="1099" spans="1:31" ht="28.5" collapsed="1" x14ac:dyDescent="0.25">
      <c r="A1099" s="84"/>
      <c r="B1099" s="84"/>
      <c r="C1099" s="84"/>
      <c r="D1099" s="84"/>
      <c r="E1099" s="784"/>
      <c r="F1099" s="785"/>
      <c r="G1099" s="803" t="s">
        <v>4206</v>
      </c>
      <c r="H1099" s="804"/>
      <c r="I1099" s="805"/>
      <c r="J1099" s="806"/>
      <c r="K1099" s="805"/>
      <c r="L1099" s="807"/>
      <c r="M1099" s="808"/>
      <c r="N1099" s="809"/>
      <c r="O1099" s="808"/>
      <c r="P1099" s="808"/>
      <c r="Q1099" s="808"/>
      <c r="R1099" s="809"/>
      <c r="S1099" s="878"/>
      <c r="T1099" s="84"/>
      <c r="AB1099" s="84">
        <f t="shared" si="212"/>
        <v>0</v>
      </c>
    </row>
    <row r="1100" spans="1:31" ht="15.75" thickBot="1" x14ac:dyDescent="0.3">
      <c r="A1100" s="84"/>
      <c r="B1100" s="84"/>
      <c r="C1100" s="84"/>
      <c r="D1100" s="84"/>
      <c r="E1100" s="791"/>
      <c r="F1100" s="792" t="s">
        <v>235</v>
      </c>
      <c r="G1100" s="793" t="s">
        <v>236</v>
      </c>
      <c r="H1100" s="794">
        <f>SUM(H1095:H1095)</f>
        <v>10000000</v>
      </c>
      <c r="I1100" s="794">
        <f>SUM(I1095:I1095)</f>
        <v>5655338.7200000007</v>
      </c>
      <c r="J1100" s="795">
        <f>I1100/H1100</f>
        <v>0.56553387200000005</v>
      </c>
      <c r="K1100" s="794">
        <f>H1100-I1100</f>
        <v>4344661.2799999993</v>
      </c>
      <c r="L1100" s="796">
        <f>SUM(L1095:L1095)</f>
        <v>0</v>
      </c>
      <c r="M1100" s="796">
        <f>SUM(M1095:M1095)</f>
        <v>0</v>
      </c>
      <c r="N1100" s="797"/>
      <c r="O1100" s="796">
        <f>SUM(O1095:O1095)</f>
        <v>0</v>
      </c>
      <c r="P1100" s="796">
        <f>L1100+H1100</f>
        <v>10000000</v>
      </c>
      <c r="Q1100" s="796">
        <f>M1100+I1100</f>
        <v>5655338.7200000007</v>
      </c>
      <c r="R1100" s="797">
        <f>Q1100/P1100</f>
        <v>0.56553387200000005</v>
      </c>
      <c r="S1100" s="796">
        <f>P1100-Q1100</f>
        <v>4344661.2799999993</v>
      </c>
      <c r="T1100" s="84"/>
      <c r="AB1100" s="84">
        <f t="shared" si="212"/>
        <v>0</v>
      </c>
    </row>
    <row r="1101" spans="1:31" ht="15.75" collapsed="1" thickBot="1" x14ac:dyDescent="0.3">
      <c r="A1101" s="84"/>
      <c r="B1101" s="84"/>
      <c r="C1101" s="84"/>
      <c r="D1101" s="84"/>
      <c r="G1101" s="798" t="s">
        <v>4207</v>
      </c>
      <c r="H1101" s="799">
        <f>SUM(H1100:H1100)</f>
        <v>10000000</v>
      </c>
      <c r="I1101" s="799">
        <f>SUM(I1100:I1100)</f>
        <v>5655338.7200000007</v>
      </c>
      <c r="J1101" s="800">
        <f>I1101/H1101</f>
        <v>0.56553387200000005</v>
      </c>
      <c r="K1101" s="799">
        <f>H1101-I1101</f>
        <v>4344661.2799999993</v>
      </c>
      <c r="L1101" s="801">
        <f>SUM(L1100:L1100)</f>
        <v>0</v>
      </c>
      <c r="M1101" s="801">
        <v>0</v>
      </c>
      <c r="N1101" s="802"/>
      <c r="O1101" s="801">
        <v>0</v>
      </c>
      <c r="P1101" s="801">
        <f>L1101+H1101</f>
        <v>10000000</v>
      </c>
      <c r="Q1101" s="801">
        <f>M1101+I1101</f>
        <v>5655338.7200000007</v>
      </c>
      <c r="R1101" s="802">
        <f>Q1101/P1101</f>
        <v>0.56553387200000005</v>
      </c>
      <c r="S1101" s="801">
        <f>P1101-Q1101</f>
        <v>4344661.2799999993</v>
      </c>
      <c r="T1101" s="84"/>
      <c r="AB1101" s="84">
        <f t="shared" si="212"/>
        <v>0</v>
      </c>
    </row>
    <row r="1102" spans="1:31" x14ac:dyDescent="0.25">
      <c r="AB1102" s="84">
        <f t="shared" si="212"/>
        <v>0</v>
      </c>
    </row>
    <row r="1103" spans="1:31" x14ac:dyDescent="0.25">
      <c r="C1103" s="761" t="s">
        <v>4480</v>
      </c>
      <c r="D1103" s="770"/>
      <c r="G1103" s="869" t="s">
        <v>5413</v>
      </c>
      <c r="T1103" s="84"/>
      <c r="AB1103" s="84">
        <f t="shared" si="212"/>
        <v>0</v>
      </c>
    </row>
    <row r="1104" spans="1:31" x14ac:dyDescent="0.25">
      <c r="C1104" s="761"/>
      <c r="D1104" s="778">
        <v>920</v>
      </c>
      <c r="E1104" s="779"/>
      <c r="F1104" s="778"/>
      <c r="G1104" s="780" t="s">
        <v>221</v>
      </c>
      <c r="T1104" s="84"/>
      <c r="AB1104" s="84">
        <f t="shared" si="212"/>
        <v>0</v>
      </c>
    </row>
    <row r="1105" spans="1:31" ht="15.75" thickBot="1" x14ac:dyDescent="0.3">
      <c r="A1105" s="84"/>
      <c r="B1105" s="84"/>
      <c r="C1105" s="84"/>
      <c r="D1105" s="84"/>
      <c r="E1105" s="760" t="s">
        <v>5237</v>
      </c>
      <c r="F1105" s="782">
        <v>472</v>
      </c>
      <c r="G1105" s="783" t="s">
        <v>3817</v>
      </c>
      <c r="H1105" s="763">
        <v>4320000</v>
      </c>
      <c r="I1105" s="763">
        <v>0</v>
      </c>
      <c r="K1105" s="763">
        <f>H1105-I1105</f>
        <v>4320000</v>
      </c>
      <c r="L1105" s="765">
        <v>0</v>
      </c>
      <c r="M1105" s="765">
        <v>0</v>
      </c>
      <c r="O1105" s="765">
        <f>L1105-M1105</f>
        <v>0</v>
      </c>
      <c r="P1105" s="765">
        <f>L1105+H1105</f>
        <v>4320000</v>
      </c>
      <c r="Q1105" s="765">
        <f>M1105+I1105</f>
        <v>0</v>
      </c>
      <c r="R1105" s="766">
        <f>Q1105/P1105</f>
        <v>0</v>
      </c>
      <c r="S1105" s="765">
        <f>P1105-Q1105</f>
        <v>4320000</v>
      </c>
      <c r="T1105" s="84"/>
      <c r="Z1105" s="830">
        <f>H1105-X1105+Y1105</f>
        <v>4320000</v>
      </c>
      <c r="AA1105" s="831">
        <v>0</v>
      </c>
      <c r="AB1105" s="84">
        <f t="shared" si="212"/>
        <v>4320000</v>
      </c>
      <c r="AE1105" s="84">
        <f>H1105-AA1105</f>
        <v>4320000</v>
      </c>
    </row>
    <row r="1106" spans="1:31" x14ac:dyDescent="0.25">
      <c r="A1106" s="84"/>
      <c r="B1106" s="84"/>
      <c r="C1106" s="84"/>
      <c r="D1106" s="84"/>
      <c r="E1106" s="784"/>
      <c r="F1106" s="785"/>
      <c r="G1106" s="786" t="s">
        <v>4204</v>
      </c>
      <c r="H1106" s="787"/>
      <c r="I1106" s="787"/>
      <c r="J1106" s="788"/>
      <c r="K1106" s="787"/>
      <c r="L1106" s="789"/>
      <c r="M1106" s="789"/>
      <c r="N1106" s="790"/>
      <c r="O1106" s="789"/>
      <c r="P1106" s="789"/>
      <c r="Q1106" s="789"/>
      <c r="R1106" s="790"/>
      <c r="S1106" s="877"/>
      <c r="T1106" s="84"/>
      <c r="AB1106" s="84">
        <f t="shared" si="212"/>
        <v>0</v>
      </c>
    </row>
    <row r="1107" spans="1:31" ht="15.75" thickBot="1" x14ac:dyDescent="0.3">
      <c r="A1107" s="84"/>
      <c r="B1107" s="84"/>
      <c r="C1107" s="84"/>
      <c r="D1107" s="84"/>
      <c r="E1107" s="791"/>
      <c r="F1107" s="792" t="s">
        <v>235</v>
      </c>
      <c r="G1107" s="793" t="s">
        <v>236</v>
      </c>
      <c r="H1107" s="794">
        <f>SUM(H1105)</f>
        <v>4320000</v>
      </c>
      <c r="I1107" s="794">
        <f>SUM(I1105)</f>
        <v>0</v>
      </c>
      <c r="J1107" s="795"/>
      <c r="K1107" s="794">
        <f>H1107-I1107</f>
        <v>4320000</v>
      </c>
      <c r="L1107" s="796">
        <f>SUM(L1105)</f>
        <v>0</v>
      </c>
      <c r="M1107" s="796">
        <f>SUM(M1105)</f>
        <v>0</v>
      </c>
      <c r="N1107" s="797"/>
      <c r="O1107" s="796">
        <f>SUM(O1105)</f>
        <v>0</v>
      </c>
      <c r="P1107" s="796">
        <f>L1107+H1107</f>
        <v>4320000</v>
      </c>
      <c r="Q1107" s="796">
        <f>M1107+I1107</f>
        <v>0</v>
      </c>
      <c r="R1107" s="797">
        <f>Q1107/P1107</f>
        <v>0</v>
      </c>
      <c r="S1107" s="796">
        <f>P1107-Q1107</f>
        <v>4320000</v>
      </c>
      <c r="T1107" s="84"/>
      <c r="AB1107" s="84">
        <f t="shared" si="212"/>
        <v>0</v>
      </c>
    </row>
    <row r="1108" spans="1:31" ht="15.75" thickBot="1" x14ac:dyDescent="0.3">
      <c r="A1108" s="84"/>
      <c r="B1108" s="84"/>
      <c r="C1108" s="84"/>
      <c r="D1108" s="84"/>
      <c r="G1108" s="798" t="s">
        <v>4205</v>
      </c>
      <c r="H1108" s="799">
        <f>SUM(H1107:H1107)</f>
        <v>4320000</v>
      </c>
      <c r="I1108" s="799">
        <f>SUM(I1107:I1107)</f>
        <v>0</v>
      </c>
      <c r="J1108" s="800"/>
      <c r="K1108" s="799">
        <f>H1108-I1108</f>
        <v>4320000</v>
      </c>
      <c r="L1108" s="801">
        <f>SUM(L1107:L1107)</f>
        <v>0</v>
      </c>
      <c r="M1108" s="801">
        <f>SUM(M1107:M1107)</f>
        <v>0</v>
      </c>
      <c r="N1108" s="802"/>
      <c r="O1108" s="801">
        <f>SUM(O1107:O1107)</f>
        <v>0</v>
      </c>
      <c r="P1108" s="801">
        <f>L1108+H1108</f>
        <v>4320000</v>
      </c>
      <c r="Q1108" s="801">
        <f>M1108+I1108</f>
        <v>0</v>
      </c>
      <c r="R1108" s="802">
        <f>Q1108/P1108</f>
        <v>0</v>
      </c>
      <c r="S1108" s="801">
        <f>P1108-Q1108</f>
        <v>4320000</v>
      </c>
      <c r="T1108" s="84"/>
      <c r="AB1108" s="84">
        <f t="shared" si="212"/>
        <v>0</v>
      </c>
    </row>
    <row r="1109" spans="1:31" collapsed="1" x14ac:dyDescent="0.25">
      <c r="A1109" s="84"/>
      <c r="B1109" s="84"/>
      <c r="C1109" s="84"/>
      <c r="D1109" s="84"/>
      <c r="E1109" s="784"/>
      <c r="F1109" s="785"/>
      <c r="G1109" s="803" t="s">
        <v>5178</v>
      </c>
      <c r="H1109" s="804"/>
      <c r="I1109" s="805"/>
      <c r="J1109" s="806"/>
      <c r="K1109" s="805"/>
      <c r="L1109" s="807"/>
      <c r="M1109" s="808"/>
      <c r="N1109" s="809"/>
      <c r="O1109" s="808"/>
      <c r="P1109" s="808"/>
      <c r="Q1109" s="808"/>
      <c r="R1109" s="809"/>
      <c r="S1109" s="878"/>
      <c r="T1109" s="84"/>
      <c r="AB1109" s="84">
        <f t="shared" si="212"/>
        <v>0</v>
      </c>
    </row>
    <row r="1110" spans="1:31" ht="15.75" thickBot="1" x14ac:dyDescent="0.3">
      <c r="A1110" s="84"/>
      <c r="B1110" s="84"/>
      <c r="C1110" s="84"/>
      <c r="D1110" s="84"/>
      <c r="E1110" s="791"/>
      <c r="F1110" s="792" t="s">
        <v>235</v>
      </c>
      <c r="G1110" s="793" t="s">
        <v>236</v>
      </c>
      <c r="H1110" s="794">
        <f>SUM(H1105:H1105)</f>
        <v>4320000</v>
      </c>
      <c r="I1110" s="794">
        <f>SUM(I1105:I1105)</f>
        <v>0</v>
      </c>
      <c r="J1110" s="795"/>
      <c r="K1110" s="794">
        <f>H1110-I1110</f>
        <v>4320000</v>
      </c>
      <c r="L1110" s="796">
        <f>SUM(L1105:L1105)</f>
        <v>0</v>
      </c>
      <c r="M1110" s="796">
        <f>SUM(M1105:M1105)</f>
        <v>0</v>
      </c>
      <c r="N1110" s="797"/>
      <c r="O1110" s="796">
        <f>SUM(O1105:O1105)</f>
        <v>0</v>
      </c>
      <c r="P1110" s="796">
        <f>L1110+H1110</f>
        <v>4320000</v>
      </c>
      <c r="Q1110" s="796">
        <f>M1110+I1110</f>
        <v>0</v>
      </c>
      <c r="R1110" s="797">
        <f>Q1110/P1110</f>
        <v>0</v>
      </c>
      <c r="S1110" s="796">
        <f>P1110-Q1110</f>
        <v>4320000</v>
      </c>
      <c r="T1110" s="84"/>
      <c r="AB1110" s="84">
        <f t="shared" si="212"/>
        <v>0</v>
      </c>
    </row>
    <row r="1111" spans="1:31" ht="15.75" collapsed="1" thickBot="1" x14ac:dyDescent="0.3">
      <c r="A1111" s="84"/>
      <c r="B1111" s="84"/>
      <c r="C1111" s="84"/>
      <c r="D1111" s="84"/>
      <c r="G1111" s="798" t="s">
        <v>5179</v>
      </c>
      <c r="H1111" s="799">
        <f>SUM(H1110:H1110)</f>
        <v>4320000</v>
      </c>
      <c r="I1111" s="799">
        <f>SUM(I1110:I1110)</f>
        <v>0</v>
      </c>
      <c r="J1111" s="800"/>
      <c r="K1111" s="799">
        <f>H1111-I1111</f>
        <v>4320000</v>
      </c>
      <c r="L1111" s="801">
        <f>SUM(L1110:L1110)</f>
        <v>0</v>
      </c>
      <c r="M1111" s="801">
        <v>0</v>
      </c>
      <c r="N1111" s="802"/>
      <c r="O1111" s="801">
        <v>0</v>
      </c>
      <c r="P1111" s="801">
        <f>L1111+H1111</f>
        <v>4320000</v>
      </c>
      <c r="Q1111" s="801">
        <f>M1111+I1111</f>
        <v>0</v>
      </c>
      <c r="R1111" s="802">
        <f>Q1111/P1111</f>
        <v>0</v>
      </c>
      <c r="S1111" s="801">
        <f>P1111-Q1111</f>
        <v>4320000</v>
      </c>
      <c r="T1111" s="84"/>
      <c r="AB1111" s="84">
        <f t="shared" si="212"/>
        <v>0</v>
      </c>
    </row>
    <row r="1112" spans="1:31" x14ac:dyDescent="0.25">
      <c r="AB1112" s="84">
        <f t="shared" si="212"/>
        <v>0</v>
      </c>
    </row>
    <row r="1113" spans="1:31" x14ac:dyDescent="0.25">
      <c r="A1113" s="84"/>
      <c r="B1113" s="84"/>
      <c r="C1113" s="84"/>
      <c r="D1113" s="84"/>
      <c r="E1113" s="784"/>
      <c r="F1113" s="785"/>
      <c r="G1113" s="821" t="s">
        <v>4212</v>
      </c>
      <c r="H1113" s="822"/>
      <c r="I1113" s="822"/>
      <c r="J1113" s="823"/>
      <c r="K1113" s="822"/>
      <c r="L1113" s="824"/>
      <c r="M1113" s="824"/>
      <c r="N1113" s="825"/>
      <c r="O1113" s="824"/>
      <c r="P1113" s="824"/>
      <c r="Q1113" s="824"/>
      <c r="R1113" s="825"/>
      <c r="S1113" s="880"/>
      <c r="T1113" s="84"/>
      <c r="AB1113" s="84">
        <f t="shared" si="212"/>
        <v>0</v>
      </c>
    </row>
    <row r="1114" spans="1:31" ht="15.75" thickBot="1" x14ac:dyDescent="0.3">
      <c r="A1114" s="84"/>
      <c r="B1114" s="84"/>
      <c r="C1114" s="84"/>
      <c r="D1114" s="84"/>
      <c r="E1114" s="791"/>
      <c r="F1114" s="792" t="s">
        <v>235</v>
      </c>
      <c r="G1114" s="793" t="s">
        <v>236</v>
      </c>
      <c r="H1114" s="794">
        <f>H1100+H1110</f>
        <v>14320000</v>
      </c>
      <c r="I1114" s="794">
        <f t="shared" ref="I1114:S1114" si="213">I1100+I1110</f>
        <v>5655338.7200000007</v>
      </c>
      <c r="J1114" s="795">
        <f>I1114/H1114</f>
        <v>0.39492588826815644</v>
      </c>
      <c r="K1114" s="794">
        <f t="shared" si="213"/>
        <v>8664661.2799999993</v>
      </c>
      <c r="L1114" s="796">
        <f t="shared" si="213"/>
        <v>0</v>
      </c>
      <c r="M1114" s="796">
        <f t="shared" si="213"/>
        <v>0</v>
      </c>
      <c r="N1114" s="797">
        <f t="shared" si="213"/>
        <v>0</v>
      </c>
      <c r="O1114" s="796">
        <f t="shared" si="213"/>
        <v>0</v>
      </c>
      <c r="P1114" s="796">
        <f t="shared" si="213"/>
        <v>14320000</v>
      </c>
      <c r="Q1114" s="796">
        <f t="shared" si="213"/>
        <v>5655338.7200000007</v>
      </c>
      <c r="R1114" s="797">
        <f t="shared" si="213"/>
        <v>0.56553387200000005</v>
      </c>
      <c r="S1114" s="796">
        <f t="shared" si="213"/>
        <v>8664661.2799999993</v>
      </c>
      <c r="T1114" s="84"/>
      <c r="AB1114" s="84">
        <f t="shared" si="212"/>
        <v>0</v>
      </c>
    </row>
    <row r="1115" spans="1:31" ht="15.75" thickBot="1" x14ac:dyDescent="0.3">
      <c r="A1115" s="84"/>
      <c r="B1115" s="84"/>
      <c r="C1115" s="84"/>
      <c r="D1115" s="84"/>
      <c r="G1115" s="798" t="s">
        <v>4213</v>
      </c>
      <c r="H1115" s="799">
        <f>SUM(H1114:H1114)</f>
        <v>14320000</v>
      </c>
      <c r="I1115" s="799">
        <f>SUM(I1114:I1114)</f>
        <v>5655338.7200000007</v>
      </c>
      <c r="J1115" s="800">
        <f>I1115/H1115</f>
        <v>0.39492588826815644</v>
      </c>
      <c r="K1115" s="799">
        <f>H1115-I1115</f>
        <v>8664661.2799999993</v>
      </c>
      <c r="L1115" s="801">
        <v>0</v>
      </c>
      <c r="M1115" s="801">
        <v>0</v>
      </c>
      <c r="N1115" s="802"/>
      <c r="O1115" s="801">
        <f>L1115-M1115</f>
        <v>0</v>
      </c>
      <c r="P1115" s="801">
        <f>L1115+H1115</f>
        <v>14320000</v>
      </c>
      <c r="Q1115" s="801">
        <f>M1115+I1115</f>
        <v>5655338.7200000007</v>
      </c>
      <c r="R1115" s="802">
        <f>Q1115/P1115</f>
        <v>0.39492588826815644</v>
      </c>
      <c r="S1115" s="801">
        <f>P1115-Q1115</f>
        <v>8664661.2799999993</v>
      </c>
      <c r="T1115" s="84"/>
      <c r="AB1115" s="84">
        <f t="shared" si="212"/>
        <v>0</v>
      </c>
    </row>
    <row r="1116" spans="1:31" x14ac:dyDescent="0.25">
      <c r="A1116" s="84"/>
      <c r="B1116" s="84"/>
      <c r="C1116" s="84"/>
      <c r="D1116" s="84"/>
      <c r="G1116" s="811"/>
      <c r="H1116" s="812"/>
      <c r="I1116" s="812"/>
      <c r="J1116" s="813"/>
      <c r="K1116" s="812"/>
      <c r="L1116" s="814"/>
      <c r="M1116" s="814"/>
      <c r="N1116" s="815"/>
      <c r="O1116" s="814"/>
      <c r="P1116" s="814"/>
      <c r="Q1116" s="814"/>
      <c r="R1116" s="815"/>
      <c r="S1116" s="814"/>
      <c r="T1116" s="84"/>
      <c r="AB1116" s="84">
        <f t="shared" si="212"/>
        <v>0</v>
      </c>
    </row>
    <row r="1117" spans="1:31" s="972" customFormat="1" ht="28.5" x14ac:dyDescent="0.25">
      <c r="A1117" s="767"/>
      <c r="B1117" s="768"/>
      <c r="C1117" s="974" t="s">
        <v>3591</v>
      </c>
      <c r="D1117" s="974"/>
      <c r="E1117" s="1006"/>
      <c r="F1117" s="1007"/>
      <c r="G1117" s="762" t="s">
        <v>4165</v>
      </c>
      <c r="H1117" s="1008"/>
      <c r="I1117" s="1008"/>
      <c r="J1117" s="1009"/>
      <c r="K1117" s="1008"/>
      <c r="L1117" s="643"/>
      <c r="M1117" s="643"/>
      <c r="N1117" s="1010"/>
      <c r="O1117" s="643"/>
      <c r="P1117" s="643"/>
      <c r="Q1117" s="643"/>
      <c r="R1117" s="1010"/>
      <c r="S1117" s="643"/>
      <c r="T1117" s="971"/>
      <c r="V1117" s="973"/>
      <c r="W1117" s="973"/>
      <c r="X1117" s="833"/>
      <c r="Y1117" s="834"/>
      <c r="Z1117" s="830"/>
      <c r="AA1117" s="831"/>
      <c r="AB1117" s="972">
        <f t="shared" si="212"/>
        <v>0</v>
      </c>
    </row>
    <row r="1118" spans="1:31" ht="22.5" customHeight="1" x14ac:dyDescent="0.25">
      <c r="C1118" s="761" t="s">
        <v>4068</v>
      </c>
      <c r="D1118" s="770"/>
      <c r="G1118" s="869" t="s">
        <v>5118</v>
      </c>
      <c r="AB1118" s="84">
        <f t="shared" si="212"/>
        <v>0</v>
      </c>
    </row>
    <row r="1119" spans="1:31" s="972" customFormat="1" ht="30" x14ac:dyDescent="0.25">
      <c r="A1119" s="767"/>
      <c r="B1119" s="768"/>
      <c r="C1119" s="974"/>
      <c r="D1119" s="1011" t="s">
        <v>3880</v>
      </c>
      <c r="E1119" s="1012"/>
      <c r="F1119" s="1013"/>
      <c r="G1119" s="1014" t="s">
        <v>4174</v>
      </c>
      <c r="H1119" s="1008"/>
      <c r="I1119" s="1008"/>
      <c r="J1119" s="1009"/>
      <c r="K1119" s="1008"/>
      <c r="L1119" s="643"/>
      <c r="M1119" s="643"/>
      <c r="N1119" s="1010"/>
      <c r="O1119" s="643"/>
      <c r="P1119" s="643"/>
      <c r="Q1119" s="643"/>
      <c r="R1119" s="1010"/>
      <c r="S1119" s="643"/>
      <c r="T1119" s="971"/>
      <c r="V1119" s="973"/>
      <c r="W1119" s="973"/>
      <c r="X1119" s="833"/>
      <c r="Y1119" s="834"/>
      <c r="Z1119" s="830"/>
      <c r="AA1119" s="831"/>
      <c r="AB1119" s="972">
        <f t="shared" si="212"/>
        <v>0</v>
      </c>
    </row>
    <row r="1120" spans="1:31" ht="15.75" thickBot="1" x14ac:dyDescent="0.3">
      <c r="A1120" s="84"/>
      <c r="B1120" s="84"/>
      <c r="C1120" s="84"/>
      <c r="D1120" s="84"/>
      <c r="E1120" s="760" t="s">
        <v>5238</v>
      </c>
      <c r="F1120" s="782">
        <v>463</v>
      </c>
      <c r="G1120" s="783" t="s">
        <v>4787</v>
      </c>
      <c r="H1120" s="763">
        <v>7700000</v>
      </c>
      <c r="I1120" s="763">
        <f>5345320.28+76880.59</f>
        <v>5422200.8700000001</v>
      </c>
      <c r="J1120" s="764">
        <f>I1120/H1120</f>
        <v>0.70418193116883121</v>
      </c>
      <c r="K1120" s="763">
        <f>H1120-I1120</f>
        <v>2277799.13</v>
      </c>
      <c r="L1120" s="765">
        <v>0</v>
      </c>
      <c r="M1120" s="765">
        <v>0</v>
      </c>
      <c r="O1120" s="765">
        <f>L1120-M1120</f>
        <v>0</v>
      </c>
      <c r="P1120" s="765">
        <f>L1120+H1120</f>
        <v>7700000</v>
      </c>
      <c r="Q1120" s="765">
        <f>M1120+I1120</f>
        <v>5422200.8700000001</v>
      </c>
      <c r="R1120" s="766">
        <f>Q1120/P1120</f>
        <v>0.70418193116883121</v>
      </c>
      <c r="S1120" s="765">
        <f>P1120-Q1120</f>
        <v>2277799.13</v>
      </c>
      <c r="T1120" s="84"/>
      <c r="X1120" s="833">
        <v>2000000</v>
      </c>
      <c r="Z1120" s="830">
        <f>H1120-X1120+Y1120</f>
        <v>5700000</v>
      </c>
      <c r="AA1120" s="831">
        <v>10000000</v>
      </c>
      <c r="AB1120" s="84">
        <f t="shared" si="212"/>
        <v>-4300000</v>
      </c>
      <c r="AE1120" s="84">
        <f>H1120-AA1120</f>
        <v>-2300000</v>
      </c>
    </row>
    <row r="1121" spans="1:31" x14ac:dyDescent="0.25">
      <c r="A1121" s="84"/>
      <c r="B1121" s="84"/>
      <c r="C1121" s="84"/>
      <c r="D1121" s="84"/>
      <c r="E1121" s="784"/>
      <c r="F1121" s="785"/>
      <c r="G1121" s="786" t="s">
        <v>4190</v>
      </c>
      <c r="H1121" s="787"/>
      <c r="I1121" s="787"/>
      <c r="J1121" s="788"/>
      <c r="K1121" s="787"/>
      <c r="L1121" s="789"/>
      <c r="M1121" s="789"/>
      <c r="N1121" s="790"/>
      <c r="O1121" s="789"/>
      <c r="P1121" s="789"/>
      <c r="Q1121" s="789"/>
      <c r="R1121" s="790"/>
      <c r="S1121" s="877"/>
      <c r="T1121" s="84"/>
      <c r="AB1121" s="84">
        <f t="shared" si="212"/>
        <v>0</v>
      </c>
    </row>
    <row r="1122" spans="1:31" ht="15.75" thickBot="1" x14ac:dyDescent="0.3">
      <c r="A1122" s="84"/>
      <c r="B1122" s="84"/>
      <c r="C1122" s="84"/>
      <c r="D1122" s="84"/>
      <c r="E1122" s="791"/>
      <c r="F1122" s="792" t="s">
        <v>235</v>
      </c>
      <c r="G1122" s="793" t="s">
        <v>236</v>
      </c>
      <c r="H1122" s="794">
        <f t="shared" ref="H1122:M1122" si="214">SUM(H1120:H1120)</f>
        <v>7700000</v>
      </c>
      <c r="I1122" s="794">
        <f t="shared" si="214"/>
        <v>5422200.8700000001</v>
      </c>
      <c r="J1122" s="795">
        <f t="shared" si="214"/>
        <v>0.70418193116883121</v>
      </c>
      <c r="K1122" s="794">
        <f t="shared" si="214"/>
        <v>2277799.13</v>
      </c>
      <c r="L1122" s="796">
        <f t="shared" si="214"/>
        <v>0</v>
      </c>
      <c r="M1122" s="796">
        <f t="shared" si="214"/>
        <v>0</v>
      </c>
      <c r="N1122" s="797"/>
      <c r="O1122" s="796">
        <f>SUM(O1120:O1120)</f>
        <v>0</v>
      </c>
      <c r="P1122" s="796">
        <f>SUM(P1120:P1120)</f>
        <v>7700000</v>
      </c>
      <c r="Q1122" s="796">
        <f>SUM(Q1120:Q1120)</f>
        <v>5422200.8700000001</v>
      </c>
      <c r="R1122" s="797">
        <f>SUM(R1120:R1120)</f>
        <v>0.70418193116883121</v>
      </c>
      <c r="S1122" s="796">
        <f>SUM(S1120:S1120)</f>
        <v>2277799.13</v>
      </c>
      <c r="T1122" s="84"/>
      <c r="AB1122" s="84">
        <f t="shared" si="212"/>
        <v>0</v>
      </c>
    </row>
    <row r="1123" spans="1:31" ht="15.75" thickBot="1" x14ac:dyDescent="0.3">
      <c r="A1123" s="84"/>
      <c r="B1123" s="84"/>
      <c r="C1123" s="84"/>
      <c r="D1123" s="84"/>
      <c r="G1123" s="798" t="s">
        <v>4191</v>
      </c>
      <c r="H1123" s="799">
        <f t="shared" ref="H1123:M1123" si="215">SUM(H1122:H1122)</f>
        <v>7700000</v>
      </c>
      <c r="I1123" s="799">
        <f t="shared" si="215"/>
        <v>5422200.8700000001</v>
      </c>
      <c r="J1123" s="800">
        <f t="shared" si="215"/>
        <v>0.70418193116883121</v>
      </c>
      <c r="K1123" s="799">
        <f t="shared" si="215"/>
        <v>2277799.13</v>
      </c>
      <c r="L1123" s="801">
        <f t="shared" si="215"/>
        <v>0</v>
      </c>
      <c r="M1123" s="801">
        <f t="shared" si="215"/>
        <v>0</v>
      </c>
      <c r="N1123" s="802"/>
      <c r="O1123" s="801">
        <f>SUM(O1122:O1122)</f>
        <v>0</v>
      </c>
      <c r="P1123" s="801">
        <f>SUM(P1122:P1122)</f>
        <v>7700000</v>
      </c>
      <c r="Q1123" s="801">
        <f>SUM(Q1122:Q1122)</f>
        <v>5422200.8700000001</v>
      </c>
      <c r="R1123" s="802">
        <f>SUM(R1122:R1122)</f>
        <v>0.70418193116883121</v>
      </c>
      <c r="S1123" s="801">
        <f>SUM(S1122:S1122)</f>
        <v>2277799.13</v>
      </c>
      <c r="T1123" s="84"/>
      <c r="AB1123" s="84">
        <f t="shared" si="212"/>
        <v>0</v>
      </c>
    </row>
    <row r="1124" spans="1:31" ht="28.5" collapsed="1" x14ac:dyDescent="0.25">
      <c r="A1124" s="84"/>
      <c r="B1124" s="84"/>
      <c r="C1124" s="84"/>
      <c r="D1124" s="84"/>
      <c r="E1124" s="784"/>
      <c r="F1124" s="785"/>
      <c r="G1124" s="803" t="s">
        <v>4168</v>
      </c>
      <c r="H1124" s="804"/>
      <c r="I1124" s="805"/>
      <c r="J1124" s="806"/>
      <c r="K1124" s="805"/>
      <c r="L1124" s="807"/>
      <c r="M1124" s="808"/>
      <c r="N1124" s="809"/>
      <c r="O1124" s="808"/>
      <c r="P1124" s="808"/>
      <c r="Q1124" s="808"/>
      <c r="R1124" s="809"/>
      <c r="S1124" s="878"/>
      <c r="T1124" s="84"/>
      <c r="AB1124" s="84">
        <f t="shared" si="212"/>
        <v>0</v>
      </c>
    </row>
    <row r="1125" spans="1:31" ht="15.75" thickBot="1" x14ac:dyDescent="0.3">
      <c r="A1125" s="84"/>
      <c r="B1125" s="84"/>
      <c r="C1125" s="84"/>
      <c r="D1125" s="84"/>
      <c r="E1125" s="791"/>
      <c r="F1125" s="792" t="s">
        <v>235</v>
      </c>
      <c r="G1125" s="793" t="s">
        <v>236</v>
      </c>
      <c r="H1125" s="794">
        <f t="shared" ref="H1125:M1125" si="216">SUM(H1120:H1120)</f>
        <v>7700000</v>
      </c>
      <c r="I1125" s="794">
        <f t="shared" si="216"/>
        <v>5422200.8700000001</v>
      </c>
      <c r="J1125" s="795">
        <f t="shared" si="216"/>
        <v>0.70418193116883121</v>
      </c>
      <c r="K1125" s="794">
        <f t="shared" si="216"/>
        <v>2277799.13</v>
      </c>
      <c r="L1125" s="796">
        <f t="shared" si="216"/>
        <v>0</v>
      </c>
      <c r="M1125" s="796">
        <f t="shared" si="216"/>
        <v>0</v>
      </c>
      <c r="N1125" s="797"/>
      <c r="O1125" s="796">
        <f>SUM(O1120:O1120)</f>
        <v>0</v>
      </c>
      <c r="P1125" s="796">
        <f>SUM(P1120:P1120)</f>
        <v>7700000</v>
      </c>
      <c r="Q1125" s="796">
        <f>SUM(Q1120:Q1120)</f>
        <v>5422200.8700000001</v>
      </c>
      <c r="R1125" s="797">
        <f>SUM(R1120:R1120)</f>
        <v>0.70418193116883121</v>
      </c>
      <c r="S1125" s="796">
        <f>SUM(S1120:S1120)</f>
        <v>2277799.13</v>
      </c>
      <c r="T1125" s="84"/>
      <c r="AB1125" s="84">
        <f t="shared" si="212"/>
        <v>0</v>
      </c>
    </row>
    <row r="1126" spans="1:31" ht="15.75" collapsed="1" thickBot="1" x14ac:dyDescent="0.3">
      <c r="G1126" s="798" t="s">
        <v>4788</v>
      </c>
      <c r="H1126" s="799">
        <f t="shared" ref="H1126:M1126" si="217">SUM(H1125:H1125)</f>
        <v>7700000</v>
      </c>
      <c r="I1126" s="799">
        <f t="shared" si="217"/>
        <v>5422200.8700000001</v>
      </c>
      <c r="J1126" s="800">
        <f t="shared" si="217"/>
        <v>0.70418193116883121</v>
      </c>
      <c r="K1126" s="799">
        <f t="shared" si="217"/>
        <v>2277799.13</v>
      </c>
      <c r="L1126" s="801">
        <f t="shared" si="217"/>
        <v>0</v>
      </c>
      <c r="M1126" s="801">
        <f t="shared" si="217"/>
        <v>0</v>
      </c>
      <c r="N1126" s="802"/>
      <c r="O1126" s="801">
        <f>SUM(O1125:O1125)</f>
        <v>0</v>
      </c>
      <c r="P1126" s="801">
        <f>SUM(P1125:P1125)</f>
        <v>7700000</v>
      </c>
      <c r="Q1126" s="801">
        <f>SUM(Q1125:Q1125)</f>
        <v>5422200.8700000001</v>
      </c>
      <c r="R1126" s="802">
        <f>SUM(R1125:R1125)</f>
        <v>0.70418193116883121</v>
      </c>
      <c r="S1126" s="801">
        <f>SUM(S1125:S1125)</f>
        <v>2277799.13</v>
      </c>
      <c r="AB1126" s="84">
        <f t="shared" si="212"/>
        <v>0</v>
      </c>
    </row>
    <row r="1127" spans="1:31" x14ac:dyDescent="0.25">
      <c r="G1127" s="811"/>
      <c r="H1127" s="812"/>
      <c r="I1127" s="812"/>
      <c r="J1127" s="813"/>
      <c r="K1127" s="812"/>
      <c r="L1127" s="814"/>
      <c r="M1127" s="814"/>
      <c r="N1127" s="815"/>
      <c r="O1127" s="814"/>
      <c r="P1127" s="814"/>
      <c r="Q1127" s="814"/>
      <c r="R1127" s="815"/>
      <c r="S1127" s="814"/>
      <c r="AB1127" s="84">
        <f t="shared" si="212"/>
        <v>0</v>
      </c>
    </row>
    <row r="1128" spans="1:31" ht="33" hidden="1" customHeight="1" x14ac:dyDescent="0.25">
      <c r="C1128" s="761" t="s">
        <v>4069</v>
      </c>
      <c r="D1128" s="770"/>
      <c r="G1128" s="869" t="s">
        <v>5129</v>
      </c>
      <c r="AB1128" s="84">
        <f t="shared" si="212"/>
        <v>0</v>
      </c>
    </row>
    <row r="1129" spans="1:31" s="972" customFormat="1" hidden="1" x14ac:dyDescent="0.25">
      <c r="A1129" s="767"/>
      <c r="B1129" s="768"/>
      <c r="C1129" s="974"/>
      <c r="D1129" s="1011" t="s">
        <v>3874</v>
      </c>
      <c r="E1129" s="1012"/>
      <c r="F1129" s="1013"/>
      <c r="G1129" s="1014" t="s">
        <v>101</v>
      </c>
      <c r="H1129" s="1008"/>
      <c r="I1129" s="1008"/>
      <c r="J1129" s="1009"/>
      <c r="K1129" s="1008"/>
      <c r="L1129" s="643"/>
      <c r="M1129" s="643"/>
      <c r="N1129" s="1010"/>
      <c r="O1129" s="643"/>
      <c r="P1129" s="643"/>
      <c r="Q1129" s="643"/>
      <c r="R1129" s="1010"/>
      <c r="S1129" s="643"/>
      <c r="T1129" s="971"/>
      <c r="V1129" s="973"/>
      <c r="W1129" s="973"/>
      <c r="X1129" s="833"/>
      <c r="Y1129" s="834"/>
      <c r="Z1129" s="830"/>
      <c r="AA1129" s="831"/>
      <c r="AB1129" s="972">
        <f t="shared" si="212"/>
        <v>0</v>
      </c>
    </row>
    <row r="1130" spans="1:31" ht="15.75" hidden="1" thickBot="1" x14ac:dyDescent="0.3">
      <c r="A1130" s="84"/>
      <c r="B1130" s="84"/>
      <c r="C1130" s="84"/>
      <c r="D1130" s="84"/>
      <c r="E1130" s="760" t="s">
        <v>5241</v>
      </c>
      <c r="F1130" s="782">
        <v>511</v>
      </c>
      <c r="G1130" s="783" t="s">
        <v>4141</v>
      </c>
      <c r="H1130" s="763">
        <v>0</v>
      </c>
      <c r="I1130" s="763">
        <v>0</v>
      </c>
      <c r="K1130" s="763">
        <f>H1130-I1130</f>
        <v>0</v>
      </c>
      <c r="L1130" s="765">
        <v>0</v>
      </c>
      <c r="M1130" s="765">
        <v>0</v>
      </c>
      <c r="O1130" s="765">
        <f>L1130-M1130</f>
        <v>0</v>
      </c>
      <c r="P1130" s="765">
        <f>L1130+H1130</f>
        <v>0</v>
      </c>
      <c r="Q1130" s="765">
        <f>M1130+I1130</f>
        <v>0</v>
      </c>
      <c r="S1130" s="765">
        <f>P1130-Q1130</f>
        <v>0</v>
      </c>
      <c r="T1130" s="84"/>
      <c r="Z1130" s="830">
        <f>H1130-X1130+Y1130</f>
        <v>0</v>
      </c>
      <c r="AA1130" s="831">
        <v>0</v>
      </c>
      <c r="AB1130" s="84">
        <f t="shared" si="212"/>
        <v>0</v>
      </c>
      <c r="AC1130" s="84">
        <v>7</v>
      </c>
      <c r="AE1130" s="84">
        <f>H1130-AA1130</f>
        <v>0</v>
      </c>
    </row>
    <row r="1131" spans="1:31" hidden="1" x14ac:dyDescent="0.25">
      <c r="A1131" s="84"/>
      <c r="B1131" s="84"/>
      <c r="C1131" s="84"/>
      <c r="D1131" s="84"/>
      <c r="E1131" s="784"/>
      <c r="F1131" s="785"/>
      <c r="G1131" s="786" t="s">
        <v>5125</v>
      </c>
      <c r="H1131" s="787"/>
      <c r="I1131" s="787"/>
      <c r="J1131" s="788"/>
      <c r="K1131" s="787"/>
      <c r="L1131" s="789"/>
      <c r="M1131" s="789"/>
      <c r="N1131" s="790"/>
      <c r="O1131" s="789"/>
      <c r="P1131" s="789"/>
      <c r="Q1131" s="789"/>
      <c r="R1131" s="790"/>
      <c r="S1131" s="877"/>
      <c r="T1131" s="84"/>
      <c r="AB1131" s="84">
        <f t="shared" si="212"/>
        <v>0</v>
      </c>
    </row>
    <row r="1132" spans="1:31" hidden="1" x14ac:dyDescent="0.25">
      <c r="A1132" s="84"/>
      <c r="B1132" s="84"/>
      <c r="C1132" s="84"/>
      <c r="D1132" s="84"/>
      <c r="E1132" s="791"/>
      <c r="F1132" s="792" t="s">
        <v>235</v>
      </c>
      <c r="G1132" s="793" t="s">
        <v>236</v>
      </c>
      <c r="H1132" s="794">
        <f t="shared" ref="H1132:M1132" si="218">SUM(H1130:H1130)</f>
        <v>0</v>
      </c>
      <c r="I1132" s="794">
        <f t="shared" si="218"/>
        <v>0</v>
      </c>
      <c r="J1132" s="795"/>
      <c r="K1132" s="794">
        <f t="shared" si="218"/>
        <v>0</v>
      </c>
      <c r="L1132" s="796">
        <v>0</v>
      </c>
      <c r="M1132" s="796">
        <f t="shared" si="218"/>
        <v>0</v>
      </c>
      <c r="N1132" s="797"/>
      <c r="O1132" s="796">
        <f>SUM(O1130:O1130)</f>
        <v>0</v>
      </c>
      <c r="P1132" s="796">
        <f>H1132+L1132</f>
        <v>0</v>
      </c>
      <c r="Q1132" s="796">
        <f>SUM(Q1130:Q1130)</f>
        <v>0</v>
      </c>
      <c r="R1132" s="797"/>
      <c r="S1132" s="796">
        <f>SUM(S1130:S1130)</f>
        <v>0</v>
      </c>
      <c r="T1132" s="84"/>
      <c r="AB1132" s="84">
        <f t="shared" si="212"/>
        <v>0</v>
      </c>
    </row>
    <row r="1133" spans="1:31" ht="15.75" hidden="1" thickBot="1" x14ac:dyDescent="0.3">
      <c r="A1133" s="84"/>
      <c r="B1133" s="84"/>
      <c r="C1133" s="84"/>
      <c r="D1133" s="84"/>
      <c r="E1133" s="791"/>
      <c r="F1133" s="792" t="s">
        <v>247</v>
      </c>
      <c r="G1133" s="793" t="s">
        <v>4745</v>
      </c>
      <c r="H1133" s="794"/>
      <c r="I1133" s="794"/>
      <c r="J1133" s="795"/>
      <c r="K1133" s="794"/>
      <c r="L1133" s="796">
        <f>L1130</f>
        <v>0</v>
      </c>
      <c r="M1133" s="796"/>
      <c r="N1133" s="797"/>
      <c r="O1133" s="796"/>
      <c r="P1133" s="796">
        <f>H1133+L1133</f>
        <v>0</v>
      </c>
      <c r="Q1133" s="796"/>
      <c r="R1133" s="797"/>
      <c r="S1133" s="796"/>
      <c r="T1133" s="84"/>
    </row>
    <row r="1134" spans="1:31" ht="15.75" hidden="1" thickBot="1" x14ac:dyDescent="0.3">
      <c r="A1134" s="84"/>
      <c r="B1134" s="84"/>
      <c r="C1134" s="84"/>
      <c r="D1134" s="84"/>
      <c r="G1134" s="798" t="s">
        <v>5126</v>
      </c>
      <c r="H1134" s="799">
        <f t="shared" ref="H1134:M1134" si="219">SUM(H1132:H1132)</f>
        <v>0</v>
      </c>
      <c r="I1134" s="799">
        <f t="shared" si="219"/>
        <v>0</v>
      </c>
      <c r="J1134" s="800"/>
      <c r="K1134" s="799">
        <f t="shared" si="219"/>
        <v>0</v>
      </c>
      <c r="L1134" s="801">
        <f>SUM(L1132:L1133)</f>
        <v>0</v>
      </c>
      <c r="M1134" s="801">
        <f t="shared" si="219"/>
        <v>0</v>
      </c>
      <c r="N1134" s="802"/>
      <c r="O1134" s="801">
        <f>SUM(O1132:O1132)</f>
        <v>0</v>
      </c>
      <c r="P1134" s="801">
        <f>H1134+L1134</f>
        <v>0</v>
      </c>
      <c r="Q1134" s="801">
        <f>SUM(Q1132:Q1132)</f>
        <v>0</v>
      </c>
      <c r="R1134" s="802"/>
      <c r="S1134" s="801">
        <f>SUM(S1132:S1132)</f>
        <v>0</v>
      </c>
      <c r="T1134" s="84"/>
      <c r="AB1134" s="84">
        <f t="shared" si="212"/>
        <v>0</v>
      </c>
    </row>
    <row r="1135" spans="1:31" ht="28.5" hidden="1" collapsed="1" x14ac:dyDescent="0.25">
      <c r="A1135" s="84"/>
      <c r="B1135" s="84"/>
      <c r="C1135" s="84"/>
      <c r="D1135" s="84"/>
      <c r="E1135" s="784"/>
      <c r="F1135" s="785"/>
      <c r="G1135" s="803" t="s">
        <v>5127</v>
      </c>
      <c r="H1135" s="804"/>
      <c r="I1135" s="805"/>
      <c r="J1135" s="806"/>
      <c r="K1135" s="805"/>
      <c r="L1135" s="807"/>
      <c r="M1135" s="808"/>
      <c r="N1135" s="809"/>
      <c r="O1135" s="808"/>
      <c r="P1135" s="808"/>
      <c r="Q1135" s="808"/>
      <c r="R1135" s="809"/>
      <c r="S1135" s="878"/>
      <c r="T1135" s="84"/>
      <c r="AB1135" s="84">
        <f t="shared" si="212"/>
        <v>0</v>
      </c>
    </row>
    <row r="1136" spans="1:31" hidden="1" x14ac:dyDescent="0.25">
      <c r="A1136" s="84"/>
      <c r="B1136" s="84"/>
      <c r="C1136" s="84"/>
      <c r="D1136" s="84"/>
      <c r="E1136" s="791"/>
      <c r="F1136" s="792" t="s">
        <v>235</v>
      </c>
      <c r="G1136" s="793" t="s">
        <v>236</v>
      </c>
      <c r="H1136" s="794">
        <f>H1132</f>
        <v>0</v>
      </c>
      <c r="I1136" s="794">
        <f>SUM(I1130:I1130)</f>
        <v>0</v>
      </c>
      <c r="J1136" s="795"/>
      <c r="K1136" s="794">
        <f>SUM(K1130:K1130)</f>
        <v>0</v>
      </c>
      <c r="L1136" s="796">
        <f>L1132</f>
        <v>0</v>
      </c>
      <c r="M1136" s="796">
        <f>M1132</f>
        <v>0</v>
      </c>
      <c r="N1136" s="797"/>
      <c r="O1136" s="796">
        <f>O1132</f>
        <v>0</v>
      </c>
      <c r="P1136" s="796">
        <f>P1132</f>
        <v>0</v>
      </c>
      <c r="Q1136" s="796">
        <f>SUM(Q1130:Q1130)</f>
        <v>0</v>
      </c>
      <c r="R1136" s="797"/>
      <c r="S1136" s="796">
        <f>SUM(S1130:S1130)</f>
        <v>0</v>
      </c>
      <c r="T1136" s="84"/>
      <c r="AB1136" s="84">
        <f t="shared" si="212"/>
        <v>0</v>
      </c>
    </row>
    <row r="1137" spans="1:31" ht="15.75" hidden="1" thickBot="1" x14ac:dyDescent="0.3">
      <c r="A1137" s="84"/>
      <c r="B1137" s="84"/>
      <c r="C1137" s="84"/>
      <c r="D1137" s="84"/>
      <c r="E1137" s="791"/>
      <c r="F1137" s="792" t="s">
        <v>247</v>
      </c>
      <c r="G1137" s="793" t="s">
        <v>4745</v>
      </c>
      <c r="H1137" s="794">
        <f>H1133</f>
        <v>0</v>
      </c>
      <c r="I1137" s="794"/>
      <c r="J1137" s="795"/>
      <c r="K1137" s="794"/>
      <c r="L1137" s="796">
        <f>L1133</f>
        <v>0</v>
      </c>
      <c r="M1137" s="796">
        <f>M1133</f>
        <v>0</v>
      </c>
      <c r="N1137" s="797"/>
      <c r="O1137" s="796">
        <f>O1133</f>
        <v>0</v>
      </c>
      <c r="P1137" s="796">
        <f>P1133</f>
        <v>0</v>
      </c>
      <c r="Q1137" s="796"/>
      <c r="R1137" s="797"/>
      <c r="S1137" s="796"/>
      <c r="T1137" s="84"/>
    </row>
    <row r="1138" spans="1:31" ht="15.75" hidden="1" collapsed="1" thickBot="1" x14ac:dyDescent="0.3">
      <c r="G1138" s="798" t="s">
        <v>5128</v>
      </c>
      <c r="H1138" s="799">
        <f>SUM(H1136:H1137)</f>
        <v>0</v>
      </c>
      <c r="I1138" s="799">
        <f>SUM(I1136:I1136)</f>
        <v>0</v>
      </c>
      <c r="J1138" s="800"/>
      <c r="K1138" s="799">
        <f>SUM(K1136:K1136)</f>
        <v>0</v>
      </c>
      <c r="L1138" s="801">
        <f>SUM(L1136:L1137)</f>
        <v>0</v>
      </c>
      <c r="M1138" s="801">
        <f>SUM(M1136:M1136)</f>
        <v>0</v>
      </c>
      <c r="N1138" s="802"/>
      <c r="O1138" s="801">
        <f>SUM(O1136:O1136)</f>
        <v>0</v>
      </c>
      <c r="P1138" s="801">
        <f>H1138+L1138</f>
        <v>0</v>
      </c>
      <c r="Q1138" s="801">
        <f>SUM(Q1136:Q1136)</f>
        <v>0</v>
      </c>
      <c r="R1138" s="802"/>
      <c r="S1138" s="801">
        <f>SUM(S1136:S1136)</f>
        <v>0</v>
      </c>
      <c r="AB1138" s="84">
        <f t="shared" si="212"/>
        <v>0</v>
      </c>
    </row>
    <row r="1139" spans="1:31" hidden="1" x14ac:dyDescent="0.25">
      <c r="G1139" s="811"/>
      <c r="H1139" s="812"/>
      <c r="I1139" s="812"/>
      <c r="J1139" s="813"/>
      <c r="K1139" s="812"/>
      <c r="L1139" s="814"/>
      <c r="M1139" s="814"/>
      <c r="N1139" s="815"/>
      <c r="O1139" s="814"/>
      <c r="P1139" s="814"/>
      <c r="Q1139" s="814"/>
      <c r="R1139" s="815"/>
      <c r="S1139" s="814"/>
      <c r="AB1139" s="84">
        <f t="shared" si="212"/>
        <v>0</v>
      </c>
    </row>
    <row r="1140" spans="1:31" x14ac:dyDescent="0.25">
      <c r="C1140" s="761" t="s">
        <v>4071</v>
      </c>
      <c r="D1140" s="770"/>
      <c r="G1140" s="869" t="s">
        <v>5124</v>
      </c>
      <c r="AB1140" s="84">
        <f t="shared" si="212"/>
        <v>0</v>
      </c>
    </row>
    <row r="1141" spans="1:31" s="972" customFormat="1" x14ac:dyDescent="0.25">
      <c r="A1141" s="767"/>
      <c r="B1141" s="768"/>
      <c r="C1141" s="968"/>
      <c r="D1141" s="986" t="s">
        <v>3866</v>
      </c>
      <c r="E1141" s="986"/>
      <c r="F1141" s="987"/>
      <c r="G1141" s="988" t="s">
        <v>97</v>
      </c>
      <c r="H1141" s="774"/>
      <c r="I1141" s="774"/>
      <c r="J1141" s="775"/>
      <c r="K1141" s="774"/>
      <c r="L1141" s="776"/>
      <c r="M1141" s="776"/>
      <c r="N1141" s="777"/>
      <c r="O1141" s="776"/>
      <c r="P1141" s="776"/>
      <c r="Q1141" s="776"/>
      <c r="R1141" s="777"/>
      <c r="S1141" s="970"/>
      <c r="T1141" s="971"/>
      <c r="V1141" s="973"/>
      <c r="W1141" s="973"/>
      <c r="X1141" s="833"/>
      <c r="Y1141" s="834"/>
      <c r="Z1141" s="830"/>
      <c r="AA1141" s="831"/>
      <c r="AB1141" s="972">
        <f t="shared" si="212"/>
        <v>0</v>
      </c>
    </row>
    <row r="1142" spans="1:31" ht="15.75" thickBot="1" x14ac:dyDescent="0.3">
      <c r="E1142" s="760" t="s">
        <v>5241</v>
      </c>
      <c r="F1142" s="782">
        <v>472</v>
      </c>
      <c r="G1142" s="783" t="s">
        <v>3817</v>
      </c>
      <c r="H1142" s="763">
        <v>0</v>
      </c>
      <c r="I1142" s="763">
        <v>0</v>
      </c>
      <c r="K1142" s="763">
        <f>H1142-I1142</f>
        <v>0</v>
      </c>
      <c r="L1142" s="765">
        <v>4000000</v>
      </c>
      <c r="M1142" s="765">
        <f>3650000+642290</f>
        <v>4292290</v>
      </c>
      <c r="N1142" s="766">
        <f>M1142/L1142</f>
        <v>1.0730725000000001</v>
      </c>
      <c r="O1142" s="765">
        <f>L1142-M1142</f>
        <v>-292290</v>
      </c>
      <c r="P1142" s="765">
        <f>L1142+H1142</f>
        <v>4000000</v>
      </c>
      <c r="Q1142" s="765">
        <f>M1142+I1142</f>
        <v>4292290</v>
      </c>
      <c r="R1142" s="766">
        <f>Q1142/P1142</f>
        <v>1.0730725000000001</v>
      </c>
      <c r="S1142" s="765">
        <f>P1142-Q1142</f>
        <v>-292290</v>
      </c>
      <c r="Z1142" s="830">
        <f>H1142-X1142+Y1142</f>
        <v>0</v>
      </c>
      <c r="AA1142" s="831">
        <v>0</v>
      </c>
      <c r="AB1142" s="84">
        <f t="shared" si="212"/>
        <v>0</v>
      </c>
      <c r="AE1142" s="84">
        <f>H1142-AA1142</f>
        <v>0</v>
      </c>
    </row>
    <row r="1143" spans="1:31" x14ac:dyDescent="0.25">
      <c r="E1143" s="784"/>
      <c r="F1143" s="785"/>
      <c r="G1143" s="786" t="s">
        <v>5064</v>
      </c>
      <c r="H1143" s="787"/>
      <c r="I1143" s="787"/>
      <c r="J1143" s="788"/>
      <c r="K1143" s="787"/>
      <c r="L1143" s="789"/>
      <c r="M1143" s="789"/>
      <c r="N1143" s="790"/>
      <c r="O1143" s="789"/>
      <c r="P1143" s="789"/>
      <c r="Q1143" s="789"/>
      <c r="R1143" s="790"/>
      <c r="S1143" s="877"/>
      <c r="AB1143" s="84">
        <f t="shared" si="212"/>
        <v>0</v>
      </c>
    </row>
    <row r="1144" spans="1:31" ht="15.75" thickBot="1" x14ac:dyDescent="0.3">
      <c r="E1144" s="791"/>
      <c r="F1144" s="817" t="s">
        <v>247</v>
      </c>
      <c r="G1144" s="793" t="s">
        <v>4745</v>
      </c>
      <c r="H1144" s="794">
        <f>SUM(H1142)</f>
        <v>0</v>
      </c>
      <c r="I1144" s="794">
        <f>SUM(I1142)</f>
        <v>0</v>
      </c>
      <c r="J1144" s="795"/>
      <c r="K1144" s="794">
        <f>H1144-I1144</f>
        <v>0</v>
      </c>
      <c r="L1144" s="796">
        <f>L1142</f>
        <v>4000000</v>
      </c>
      <c r="M1144" s="796">
        <f>3000000+642290</f>
        <v>3642290</v>
      </c>
      <c r="N1144" s="797">
        <f>M1144/L1144</f>
        <v>0.91057250000000001</v>
      </c>
      <c r="O1144" s="796">
        <f>L1144-M1144</f>
        <v>357710</v>
      </c>
      <c r="P1144" s="796">
        <f t="shared" ref="P1144:Q1146" si="220">L1144+H1144</f>
        <v>4000000</v>
      </c>
      <c r="Q1144" s="796">
        <f t="shared" si="220"/>
        <v>3642290</v>
      </c>
      <c r="R1144" s="797">
        <f>Q1144/P1144</f>
        <v>0.91057250000000001</v>
      </c>
      <c r="S1144" s="796">
        <f>P1144-Q1144</f>
        <v>357710</v>
      </c>
      <c r="AB1144" s="84">
        <f t="shared" si="212"/>
        <v>0</v>
      </c>
    </row>
    <row r="1145" spans="1:31" ht="15.75" hidden="1" thickBot="1" x14ac:dyDescent="0.3">
      <c r="E1145" s="791"/>
      <c r="F1145" s="817" t="s">
        <v>256</v>
      </c>
      <c r="G1145" s="793" t="s">
        <v>5047</v>
      </c>
      <c r="H1145" s="794">
        <v>0</v>
      </c>
      <c r="I1145" s="794">
        <v>0</v>
      </c>
      <c r="J1145" s="795"/>
      <c r="K1145" s="794">
        <v>0</v>
      </c>
      <c r="L1145" s="796">
        <v>0</v>
      </c>
      <c r="M1145" s="796">
        <v>650000</v>
      </c>
      <c r="N1145" s="797" t="e">
        <f>M1145/L1145</f>
        <v>#DIV/0!</v>
      </c>
      <c r="O1145" s="796">
        <f>L1145-M1145</f>
        <v>-650000</v>
      </c>
      <c r="P1145" s="796">
        <f t="shared" si="220"/>
        <v>0</v>
      </c>
      <c r="Q1145" s="796">
        <f t="shared" si="220"/>
        <v>650000</v>
      </c>
      <c r="R1145" s="797" t="e">
        <f>Q1145/P1145</f>
        <v>#DIV/0!</v>
      </c>
      <c r="S1145" s="796">
        <f>P1145-Q1145</f>
        <v>-650000</v>
      </c>
      <c r="AB1145" s="84">
        <f t="shared" si="212"/>
        <v>0</v>
      </c>
    </row>
    <row r="1146" spans="1:31" ht="15.75" thickBot="1" x14ac:dyDescent="0.3">
      <c r="A1146" s="84"/>
      <c r="B1146" s="84"/>
      <c r="C1146" s="84"/>
      <c r="D1146" s="84"/>
      <c r="G1146" s="798" t="s">
        <v>5065</v>
      </c>
      <c r="H1146" s="799">
        <f>SUM(H1144:H1144)</f>
        <v>0</v>
      </c>
      <c r="I1146" s="799">
        <f>SUM(I1144:I1144)</f>
        <v>0</v>
      </c>
      <c r="J1146" s="800"/>
      <c r="K1146" s="799">
        <f>H1146-I1146</f>
        <v>0</v>
      </c>
      <c r="L1146" s="801">
        <f>SUM(L1144:L1145)</f>
        <v>4000000</v>
      </c>
      <c r="M1146" s="801">
        <f>SUM(M1144:M1145)</f>
        <v>4292290</v>
      </c>
      <c r="N1146" s="802">
        <f>M1146/L1146</f>
        <v>1.0730725000000001</v>
      </c>
      <c r="O1146" s="801">
        <f>L1146-M1146</f>
        <v>-292290</v>
      </c>
      <c r="P1146" s="801">
        <f t="shared" si="220"/>
        <v>4000000</v>
      </c>
      <c r="Q1146" s="801">
        <f t="shared" si="220"/>
        <v>4292290</v>
      </c>
      <c r="R1146" s="802">
        <f>Q1146/P1146</f>
        <v>1.0730725000000001</v>
      </c>
      <c r="S1146" s="801">
        <f>P1146-Q1146</f>
        <v>-292290</v>
      </c>
      <c r="T1146" s="84"/>
      <c r="AB1146" s="84">
        <f t="shared" si="212"/>
        <v>0</v>
      </c>
    </row>
    <row r="1147" spans="1:31" ht="28.5" collapsed="1" x14ac:dyDescent="0.25">
      <c r="A1147" s="84"/>
      <c r="B1147" s="84"/>
      <c r="C1147" s="84"/>
      <c r="D1147" s="84"/>
      <c r="E1147" s="784"/>
      <c r="F1147" s="785"/>
      <c r="G1147" s="803" t="s">
        <v>4169</v>
      </c>
      <c r="H1147" s="804"/>
      <c r="I1147" s="805"/>
      <c r="J1147" s="806"/>
      <c r="K1147" s="805"/>
      <c r="L1147" s="807"/>
      <c r="M1147" s="808"/>
      <c r="N1147" s="809"/>
      <c r="O1147" s="808"/>
      <c r="P1147" s="808"/>
      <c r="Q1147" s="808"/>
      <c r="R1147" s="809"/>
      <c r="S1147" s="878"/>
      <c r="T1147" s="84"/>
      <c r="AB1147" s="84">
        <f t="shared" si="212"/>
        <v>0</v>
      </c>
    </row>
    <row r="1148" spans="1:31" ht="15.75" thickBot="1" x14ac:dyDescent="0.3">
      <c r="A1148" s="84"/>
      <c r="B1148" s="84"/>
      <c r="C1148" s="84"/>
      <c r="D1148" s="84"/>
      <c r="E1148" s="791"/>
      <c r="F1148" s="817" t="s">
        <v>247</v>
      </c>
      <c r="G1148" s="793" t="s">
        <v>4745</v>
      </c>
      <c r="H1148" s="794">
        <f>SUM(H1142)</f>
        <v>0</v>
      </c>
      <c r="I1148" s="794">
        <f>SUM(I1142)</f>
        <v>0</v>
      </c>
      <c r="J1148" s="795"/>
      <c r="K1148" s="794">
        <f>H1148-I1148</f>
        <v>0</v>
      </c>
      <c r="L1148" s="796">
        <f>SUM(L1144)</f>
        <v>4000000</v>
      </c>
      <c r="M1148" s="796">
        <f>SUM(M1144)</f>
        <v>3642290</v>
      </c>
      <c r="N1148" s="797">
        <f>M1148/L1148</f>
        <v>0.91057250000000001</v>
      </c>
      <c r="O1148" s="796">
        <f>L1148-M1148</f>
        <v>357710</v>
      </c>
      <c r="P1148" s="796">
        <f>L1148+H1148</f>
        <v>4000000</v>
      </c>
      <c r="Q1148" s="796">
        <f>M1148+I1148</f>
        <v>3642290</v>
      </c>
      <c r="R1148" s="797">
        <f>Q1148/P1148</f>
        <v>0.91057250000000001</v>
      </c>
      <c r="S1148" s="796">
        <f>P1148-Q1148</f>
        <v>357710</v>
      </c>
      <c r="T1148" s="84"/>
      <c r="AB1148" s="84">
        <f t="shared" si="212"/>
        <v>0</v>
      </c>
    </row>
    <row r="1149" spans="1:31" ht="15.75" hidden="1" thickBot="1" x14ac:dyDescent="0.3">
      <c r="A1149" s="84"/>
      <c r="B1149" s="84"/>
      <c r="C1149" s="84"/>
      <c r="D1149" s="84"/>
      <c r="E1149" s="791"/>
      <c r="F1149" s="817" t="s">
        <v>256</v>
      </c>
      <c r="G1149" s="793" t="s">
        <v>5047</v>
      </c>
      <c r="H1149" s="794"/>
      <c r="I1149" s="794"/>
      <c r="J1149" s="795"/>
      <c r="K1149" s="794"/>
      <c r="L1149" s="796">
        <f>SUM(L1145)</f>
        <v>0</v>
      </c>
      <c r="M1149" s="796">
        <f>SUM(M1145)</f>
        <v>650000</v>
      </c>
      <c r="N1149" s="797" t="e">
        <f>SUM(N1145)</f>
        <v>#DIV/0!</v>
      </c>
      <c r="O1149" s="796" t="e">
        <f>M1149/L1149</f>
        <v>#DIV/0!</v>
      </c>
      <c r="P1149" s="796">
        <f>P1145</f>
        <v>0</v>
      </c>
      <c r="Q1149" s="796">
        <f>Q1145</f>
        <v>650000</v>
      </c>
      <c r="R1149" s="797" t="e">
        <f>Q1149/P1149</f>
        <v>#DIV/0!</v>
      </c>
      <c r="S1149" s="796">
        <f>P1149-Q1149</f>
        <v>-650000</v>
      </c>
      <c r="T1149" s="84"/>
      <c r="AB1149" s="84">
        <f t="shared" si="212"/>
        <v>0</v>
      </c>
    </row>
    <row r="1150" spans="1:31" ht="15.75" collapsed="1" thickBot="1" x14ac:dyDescent="0.3">
      <c r="G1150" s="798" t="s">
        <v>4170</v>
      </c>
      <c r="H1150" s="799">
        <f>SUM(H1142)</f>
        <v>0</v>
      </c>
      <c r="I1150" s="799">
        <f>SUM(I1142)</f>
        <v>0</v>
      </c>
      <c r="J1150" s="800"/>
      <c r="K1150" s="799">
        <f>H1150-I1150</f>
        <v>0</v>
      </c>
      <c r="L1150" s="801">
        <f>SUM(L1148:L1149)</f>
        <v>4000000</v>
      </c>
      <c r="M1150" s="801">
        <f>SUM(M1148:M1149)</f>
        <v>4292290</v>
      </c>
      <c r="N1150" s="802">
        <f>M1150/L1150</f>
        <v>1.0730725000000001</v>
      </c>
      <c r="O1150" s="801">
        <f>L1150-M1150</f>
        <v>-292290</v>
      </c>
      <c r="P1150" s="801">
        <f>SUM(P1148:P1149)</f>
        <v>4000000</v>
      </c>
      <c r="Q1150" s="801">
        <f>M1150+I1150</f>
        <v>4292290</v>
      </c>
      <c r="R1150" s="802">
        <f>Q1150/P1150</f>
        <v>1.0730725000000001</v>
      </c>
      <c r="S1150" s="801">
        <f>P1150-Q1150</f>
        <v>-292290</v>
      </c>
      <c r="AB1150" s="84">
        <f t="shared" si="212"/>
        <v>0</v>
      </c>
    </row>
    <row r="1151" spans="1:31" x14ac:dyDescent="0.25">
      <c r="G1151" s="811"/>
      <c r="H1151" s="812"/>
      <c r="I1151" s="812"/>
      <c r="J1151" s="813"/>
      <c r="K1151" s="812"/>
      <c r="L1151" s="814"/>
      <c r="M1151" s="814"/>
      <c r="N1151" s="815"/>
      <c r="O1151" s="814"/>
      <c r="P1151" s="814"/>
      <c r="Q1151" s="814"/>
      <c r="R1151" s="815"/>
      <c r="S1151" s="814"/>
      <c r="AB1151" s="84">
        <f t="shared" si="212"/>
        <v>0</v>
      </c>
    </row>
    <row r="1152" spans="1:31" ht="28.5" x14ac:dyDescent="0.25">
      <c r="C1152" s="761" t="s">
        <v>4074</v>
      </c>
      <c r="D1152" s="770"/>
      <c r="G1152" s="869" t="s">
        <v>5123</v>
      </c>
      <c r="AB1152" s="84">
        <f t="shared" si="212"/>
        <v>0</v>
      </c>
    </row>
    <row r="1153" spans="1:31" s="972" customFormat="1" ht="30" x14ac:dyDescent="0.25">
      <c r="A1153" s="767"/>
      <c r="B1153" s="768"/>
      <c r="C1153" s="968"/>
      <c r="D1153" s="986" t="s">
        <v>3880</v>
      </c>
      <c r="E1153" s="986"/>
      <c r="F1153" s="987"/>
      <c r="G1153" s="988" t="s">
        <v>104</v>
      </c>
      <c r="H1153" s="774"/>
      <c r="I1153" s="774"/>
      <c r="J1153" s="775"/>
      <c r="K1153" s="774"/>
      <c r="L1153" s="776"/>
      <c r="M1153" s="776"/>
      <c r="N1153" s="777"/>
      <c r="O1153" s="776"/>
      <c r="P1153" s="776"/>
      <c r="Q1153" s="776"/>
      <c r="R1153" s="777"/>
      <c r="S1153" s="970"/>
      <c r="T1153" s="971"/>
      <c r="V1153" s="973"/>
      <c r="W1153" s="973"/>
      <c r="X1153" s="833"/>
      <c r="Y1153" s="834"/>
      <c r="Z1153" s="830"/>
      <c r="AA1153" s="831"/>
      <c r="AB1153" s="972">
        <f t="shared" si="212"/>
        <v>0</v>
      </c>
    </row>
    <row r="1154" spans="1:31" ht="15.75" thickBot="1" x14ac:dyDescent="0.3">
      <c r="E1154" s="760" t="s">
        <v>5242</v>
      </c>
      <c r="F1154" s="782">
        <v>481</v>
      </c>
      <c r="G1154" s="783" t="s">
        <v>4136</v>
      </c>
      <c r="H1154" s="763">
        <v>4800000</v>
      </c>
      <c r="I1154" s="763">
        <f>2933322+333332</f>
        <v>3266654</v>
      </c>
      <c r="J1154" s="764">
        <f>I1154/H1154</f>
        <v>0.68055291666666662</v>
      </c>
      <c r="K1154" s="763">
        <f>H1154-I1154</f>
        <v>1533346</v>
      </c>
      <c r="L1154" s="765">
        <v>0</v>
      </c>
      <c r="M1154" s="765">
        <v>0</v>
      </c>
      <c r="O1154" s="765">
        <f>L1154-M1154</f>
        <v>0</v>
      </c>
      <c r="P1154" s="765">
        <f>L1154+H1154</f>
        <v>4800000</v>
      </c>
      <c r="Q1154" s="765">
        <f>M1154+I1154</f>
        <v>3266654</v>
      </c>
      <c r="R1154" s="766">
        <f>Q1154/P1154</f>
        <v>0.68055291666666662</v>
      </c>
      <c r="S1154" s="765">
        <f>P1154-Q1154</f>
        <v>1533346</v>
      </c>
      <c r="Z1154" s="830">
        <f>H1154-X1154+Y1154</f>
        <v>4800000</v>
      </c>
      <c r="AA1154" s="831">
        <v>4100000</v>
      </c>
      <c r="AB1154" s="84">
        <f t="shared" ref="AB1154:AB1219" si="221">Z1154-AA1154</f>
        <v>700000</v>
      </c>
      <c r="AE1154" s="84">
        <f>H1154-AA1154</f>
        <v>700000</v>
      </c>
    </row>
    <row r="1155" spans="1:31" x14ac:dyDescent="0.25">
      <c r="E1155" s="784"/>
      <c r="F1155" s="785"/>
      <c r="G1155" s="786" t="s">
        <v>4190</v>
      </c>
      <c r="H1155" s="787"/>
      <c r="I1155" s="787"/>
      <c r="J1155" s="788"/>
      <c r="K1155" s="787"/>
      <c r="L1155" s="789"/>
      <c r="M1155" s="789"/>
      <c r="N1155" s="790"/>
      <c r="O1155" s="789"/>
      <c r="P1155" s="789"/>
      <c r="Q1155" s="789"/>
      <c r="R1155" s="790"/>
      <c r="S1155" s="877"/>
      <c r="AB1155" s="84">
        <f t="shared" si="221"/>
        <v>0</v>
      </c>
    </row>
    <row r="1156" spans="1:31" ht="15.75" thickBot="1" x14ac:dyDescent="0.3">
      <c r="E1156" s="791"/>
      <c r="F1156" s="792" t="s">
        <v>235</v>
      </c>
      <c r="G1156" s="793" t="s">
        <v>236</v>
      </c>
      <c r="H1156" s="794">
        <f>SUM(H1154)</f>
        <v>4800000</v>
      </c>
      <c r="I1156" s="794">
        <f>SUM(I1154)</f>
        <v>3266654</v>
      </c>
      <c r="J1156" s="795">
        <f>I1156/H1156</f>
        <v>0.68055291666666662</v>
      </c>
      <c r="K1156" s="794">
        <f>H1156-I1156</f>
        <v>1533346</v>
      </c>
      <c r="L1156" s="796">
        <v>0</v>
      </c>
      <c r="M1156" s="796">
        <v>0</v>
      </c>
      <c r="N1156" s="797"/>
      <c r="O1156" s="796">
        <f>L1156-M1156</f>
        <v>0</v>
      </c>
      <c r="P1156" s="796">
        <f>L1156+H1156</f>
        <v>4800000</v>
      </c>
      <c r="Q1156" s="796">
        <f>M1156+I1156</f>
        <v>3266654</v>
      </c>
      <c r="R1156" s="797">
        <f>Q1156/P1156</f>
        <v>0.68055291666666662</v>
      </c>
      <c r="S1156" s="796">
        <f>P1156-Q1156</f>
        <v>1533346</v>
      </c>
      <c r="AB1156" s="84">
        <f t="shared" si="221"/>
        <v>0</v>
      </c>
    </row>
    <row r="1157" spans="1:31" ht="15.75" thickBot="1" x14ac:dyDescent="0.3">
      <c r="A1157" s="84"/>
      <c r="B1157" s="84"/>
      <c r="C1157" s="84"/>
      <c r="D1157" s="84"/>
      <c r="G1157" s="798" t="s">
        <v>4191</v>
      </c>
      <c r="H1157" s="799">
        <f>SUM(H1156:H1156)</f>
        <v>4800000</v>
      </c>
      <c r="I1157" s="799">
        <f>SUM(I1156:I1156)</f>
        <v>3266654</v>
      </c>
      <c r="J1157" s="800">
        <f>I1157/H1157</f>
        <v>0.68055291666666662</v>
      </c>
      <c r="K1157" s="799">
        <f>H1157-I1157</f>
        <v>1533346</v>
      </c>
      <c r="L1157" s="801">
        <v>0</v>
      </c>
      <c r="M1157" s="801">
        <v>0</v>
      </c>
      <c r="N1157" s="802"/>
      <c r="O1157" s="801">
        <f>L1157-M1157</f>
        <v>0</v>
      </c>
      <c r="P1157" s="801">
        <f>L1157+H1157</f>
        <v>4800000</v>
      </c>
      <c r="Q1157" s="801">
        <f>M1157+I1157</f>
        <v>3266654</v>
      </c>
      <c r="R1157" s="802">
        <f>Q1157/P1157</f>
        <v>0.68055291666666662</v>
      </c>
      <c r="S1157" s="801">
        <f>P1157-Q1157</f>
        <v>1533346</v>
      </c>
      <c r="T1157" s="84"/>
      <c r="AB1157" s="84">
        <f t="shared" si="221"/>
        <v>0</v>
      </c>
    </row>
    <row r="1158" spans="1:31" ht="28.5" collapsed="1" x14ac:dyDescent="0.25">
      <c r="A1158" s="84"/>
      <c r="B1158" s="84"/>
      <c r="C1158" s="84"/>
      <c r="D1158" s="84"/>
      <c r="E1158" s="784"/>
      <c r="F1158" s="785"/>
      <c r="G1158" s="803" t="s">
        <v>4171</v>
      </c>
      <c r="H1158" s="804"/>
      <c r="I1158" s="805"/>
      <c r="J1158" s="806"/>
      <c r="K1158" s="805"/>
      <c r="L1158" s="807"/>
      <c r="M1158" s="808"/>
      <c r="N1158" s="809"/>
      <c r="O1158" s="808"/>
      <c r="P1158" s="808"/>
      <c r="Q1158" s="808"/>
      <c r="R1158" s="809"/>
      <c r="S1158" s="878"/>
      <c r="T1158" s="84"/>
      <c r="AB1158" s="84">
        <f t="shared" si="221"/>
        <v>0</v>
      </c>
    </row>
    <row r="1159" spans="1:31" ht="15.75" thickBot="1" x14ac:dyDescent="0.3">
      <c r="A1159" s="84"/>
      <c r="B1159" s="84"/>
      <c r="C1159" s="84"/>
      <c r="D1159" s="84"/>
      <c r="E1159" s="791"/>
      <c r="F1159" s="792" t="s">
        <v>235</v>
      </c>
      <c r="G1159" s="793" t="s">
        <v>236</v>
      </c>
      <c r="H1159" s="794">
        <f>SUM(H1154)</f>
        <v>4800000</v>
      </c>
      <c r="I1159" s="794">
        <f>SUM(I1154)</f>
        <v>3266654</v>
      </c>
      <c r="J1159" s="795">
        <f>I1159/H1159</f>
        <v>0.68055291666666662</v>
      </c>
      <c r="K1159" s="794">
        <f>H1159-I1159</f>
        <v>1533346</v>
      </c>
      <c r="L1159" s="796">
        <v>0</v>
      </c>
      <c r="M1159" s="796">
        <v>0</v>
      </c>
      <c r="N1159" s="797"/>
      <c r="O1159" s="796">
        <f>L1159-M1159</f>
        <v>0</v>
      </c>
      <c r="P1159" s="796">
        <f>L1159+H1159</f>
        <v>4800000</v>
      </c>
      <c r="Q1159" s="796">
        <f>M1159+I1159</f>
        <v>3266654</v>
      </c>
      <c r="R1159" s="797">
        <f>Q1159/P1159</f>
        <v>0.68055291666666662</v>
      </c>
      <c r="S1159" s="796">
        <f>P1159-Q1159</f>
        <v>1533346</v>
      </c>
      <c r="T1159" s="84"/>
      <c r="AB1159" s="84">
        <f t="shared" si="221"/>
        <v>0</v>
      </c>
    </row>
    <row r="1160" spans="1:31" ht="15.75" collapsed="1" thickBot="1" x14ac:dyDescent="0.3">
      <c r="G1160" s="798" t="s">
        <v>4172</v>
      </c>
      <c r="H1160" s="799">
        <f>SUM(H1154)</f>
        <v>4800000</v>
      </c>
      <c r="I1160" s="799">
        <f>SUM(I1154)</f>
        <v>3266654</v>
      </c>
      <c r="J1160" s="800">
        <f>I1160/H1160</f>
        <v>0.68055291666666662</v>
      </c>
      <c r="K1160" s="799">
        <f>H1160-I1160</f>
        <v>1533346</v>
      </c>
      <c r="L1160" s="801">
        <v>0</v>
      </c>
      <c r="M1160" s="801">
        <v>0</v>
      </c>
      <c r="N1160" s="802"/>
      <c r="O1160" s="801">
        <f>L1160-M1160</f>
        <v>0</v>
      </c>
      <c r="P1160" s="801">
        <f>L1160+H1160</f>
        <v>4800000</v>
      </c>
      <c r="Q1160" s="801">
        <f>M1160+I1160</f>
        <v>3266654</v>
      </c>
      <c r="R1160" s="802">
        <f>Q1160/P1160</f>
        <v>0.68055291666666662</v>
      </c>
      <c r="S1160" s="801">
        <f>P1160-Q1160</f>
        <v>1533346</v>
      </c>
      <c r="AB1160" s="84">
        <f t="shared" si="221"/>
        <v>0</v>
      </c>
    </row>
    <row r="1161" spans="1:31" x14ac:dyDescent="0.25">
      <c r="G1161" s="811"/>
      <c r="H1161" s="812"/>
      <c r="I1161" s="812"/>
      <c r="J1161" s="813"/>
      <c r="K1161" s="812"/>
      <c r="L1161" s="814"/>
      <c r="M1161" s="814"/>
      <c r="N1161" s="815"/>
      <c r="O1161" s="814"/>
      <c r="P1161" s="814"/>
      <c r="Q1161" s="814"/>
      <c r="R1161" s="815"/>
      <c r="S1161" s="814"/>
      <c r="AB1161" s="84">
        <f t="shared" si="221"/>
        <v>0</v>
      </c>
    </row>
    <row r="1162" spans="1:31" x14ac:dyDescent="0.25">
      <c r="C1162" s="761" t="s">
        <v>4972</v>
      </c>
      <c r="D1162" s="770"/>
      <c r="G1162" s="869" t="s">
        <v>4973</v>
      </c>
      <c r="AB1162" s="84">
        <f t="shared" si="221"/>
        <v>0</v>
      </c>
    </row>
    <row r="1163" spans="1:31" s="972" customFormat="1" x14ac:dyDescent="0.25">
      <c r="A1163" s="767"/>
      <c r="B1163" s="768"/>
      <c r="C1163" s="968"/>
      <c r="D1163" s="986" t="s">
        <v>3870</v>
      </c>
      <c r="E1163" s="986"/>
      <c r="F1163" s="987"/>
      <c r="G1163" s="988" t="s">
        <v>99</v>
      </c>
      <c r="H1163" s="774"/>
      <c r="I1163" s="774"/>
      <c r="J1163" s="775"/>
      <c r="K1163" s="774"/>
      <c r="L1163" s="776"/>
      <c r="M1163" s="776"/>
      <c r="N1163" s="777"/>
      <c r="O1163" s="776"/>
      <c r="P1163" s="776"/>
      <c r="Q1163" s="776"/>
      <c r="R1163" s="777"/>
      <c r="S1163" s="970"/>
      <c r="T1163" s="971"/>
      <c r="V1163" s="973"/>
      <c r="W1163" s="973"/>
      <c r="X1163" s="833"/>
      <c r="Y1163" s="834"/>
      <c r="Z1163" s="830"/>
      <c r="AA1163" s="831"/>
      <c r="AB1163" s="972">
        <f t="shared" si="221"/>
        <v>0</v>
      </c>
    </row>
    <row r="1164" spans="1:31" ht="15.75" thickBot="1" x14ac:dyDescent="0.3">
      <c r="E1164" s="760" t="s">
        <v>5243</v>
      </c>
      <c r="F1164" s="782">
        <v>472</v>
      </c>
      <c r="G1164" s="783" t="s">
        <v>3817</v>
      </c>
      <c r="H1164" s="763">
        <v>3450000</v>
      </c>
      <c r="I1164" s="763">
        <f>3629117.24+4604</f>
        <v>3633721.24</v>
      </c>
      <c r="J1164" s="764">
        <f>I1164/H1164</f>
        <v>1.0532525333333334</v>
      </c>
      <c r="K1164" s="763">
        <f>H1164-I1164</f>
        <v>-183721.24000000022</v>
      </c>
      <c r="L1164" s="765">
        <v>500000</v>
      </c>
      <c r="M1164" s="765">
        <v>0</v>
      </c>
      <c r="O1164" s="765">
        <f>L1164-M1164</f>
        <v>500000</v>
      </c>
      <c r="P1164" s="765">
        <f>L1164+H1164</f>
        <v>3950000</v>
      </c>
      <c r="Q1164" s="765">
        <f>M1164+I1164</f>
        <v>3633721.24</v>
      </c>
      <c r="R1164" s="766">
        <f>Q1164/P1164</f>
        <v>0.91992942784810128</v>
      </c>
      <c r="S1164" s="765">
        <f>P1164-Q1164</f>
        <v>316278.75999999978</v>
      </c>
      <c r="X1164" s="833">
        <v>393778.76</v>
      </c>
      <c r="Z1164" s="830">
        <f>H1164-X1164+Y1164</f>
        <v>3056221.24</v>
      </c>
      <c r="AA1164" s="831">
        <v>4027500</v>
      </c>
      <c r="AB1164" s="84">
        <f t="shared" si="221"/>
        <v>-971278.75999999978</v>
      </c>
      <c r="AE1164" s="84">
        <f>H1164-AA1164</f>
        <v>-577500</v>
      </c>
    </row>
    <row r="1165" spans="1:31" x14ac:dyDescent="0.25">
      <c r="E1165" s="784"/>
      <c r="F1165" s="785"/>
      <c r="G1165" s="786" t="s">
        <v>4190</v>
      </c>
      <c r="H1165" s="787"/>
      <c r="I1165" s="787"/>
      <c r="J1165" s="788"/>
      <c r="K1165" s="787"/>
      <c r="L1165" s="789"/>
      <c r="M1165" s="789"/>
      <c r="N1165" s="790"/>
      <c r="O1165" s="789"/>
      <c r="P1165" s="789"/>
      <c r="Q1165" s="789"/>
      <c r="R1165" s="790"/>
      <c r="S1165" s="877"/>
      <c r="AB1165" s="84">
        <f t="shared" si="221"/>
        <v>0</v>
      </c>
    </row>
    <row r="1166" spans="1:31" x14ac:dyDescent="0.25">
      <c r="E1166" s="791"/>
      <c r="F1166" s="792" t="s">
        <v>235</v>
      </c>
      <c r="G1166" s="793" t="s">
        <v>236</v>
      </c>
      <c r="H1166" s="794">
        <f>SUM(H1164)</f>
        <v>3450000</v>
      </c>
      <c r="I1166" s="794">
        <f>SUM(I1164)</f>
        <v>3633721.24</v>
      </c>
      <c r="J1166" s="795">
        <f>I1166/H1166</f>
        <v>1.0532525333333334</v>
      </c>
      <c r="K1166" s="794">
        <f>H1166-I1166</f>
        <v>-183721.24000000022</v>
      </c>
      <c r="L1166" s="796">
        <v>0</v>
      </c>
      <c r="M1166" s="796">
        <v>0</v>
      </c>
      <c r="N1166" s="797"/>
      <c r="O1166" s="796">
        <f>L1166-M1166</f>
        <v>0</v>
      </c>
      <c r="P1166" s="796">
        <f t="shared" ref="P1166:Q1168" si="222">L1166+H1166</f>
        <v>3450000</v>
      </c>
      <c r="Q1166" s="796">
        <f t="shared" si="222"/>
        <v>3633721.24</v>
      </c>
      <c r="R1166" s="797">
        <f>Q1166/P1166</f>
        <v>1.0532525333333334</v>
      </c>
      <c r="S1166" s="796">
        <f>P1166-Q1166</f>
        <v>-183721.24000000022</v>
      </c>
      <c r="AB1166" s="84">
        <f t="shared" si="221"/>
        <v>0</v>
      </c>
    </row>
    <row r="1167" spans="1:31" ht="15.75" thickBot="1" x14ac:dyDescent="0.3">
      <c r="E1167" s="791"/>
      <c r="F1167" s="817" t="s">
        <v>247</v>
      </c>
      <c r="G1167" s="793" t="s">
        <v>4745</v>
      </c>
      <c r="H1167" s="794">
        <v>0</v>
      </c>
      <c r="I1167" s="794">
        <v>0</v>
      </c>
      <c r="J1167" s="795"/>
      <c r="K1167" s="794">
        <v>0</v>
      </c>
      <c r="L1167" s="796">
        <f>SUM(L1164)</f>
        <v>500000</v>
      </c>
      <c r="M1167" s="796">
        <f>SUM(M1164)</f>
        <v>0</v>
      </c>
      <c r="N1167" s="797"/>
      <c r="O1167" s="796">
        <f>L1167-M1167</f>
        <v>500000</v>
      </c>
      <c r="P1167" s="796">
        <f t="shared" si="222"/>
        <v>500000</v>
      </c>
      <c r="Q1167" s="796">
        <f t="shared" si="222"/>
        <v>0</v>
      </c>
      <c r="R1167" s="797">
        <f>Q1167/P1167</f>
        <v>0</v>
      </c>
      <c r="S1167" s="796">
        <f>P1167-Q1167</f>
        <v>500000</v>
      </c>
      <c r="AB1167" s="84">
        <f>Z1167-AA1167</f>
        <v>0</v>
      </c>
    </row>
    <row r="1168" spans="1:31" ht="15.75" thickBot="1" x14ac:dyDescent="0.3">
      <c r="A1168" s="84"/>
      <c r="B1168" s="84"/>
      <c r="C1168" s="84"/>
      <c r="D1168" s="84"/>
      <c r="G1168" s="798" t="s">
        <v>4974</v>
      </c>
      <c r="H1168" s="799">
        <f>SUM(H1166:H1166)</f>
        <v>3450000</v>
      </c>
      <c r="I1168" s="799">
        <f>SUM(I1166:I1166)</f>
        <v>3633721.24</v>
      </c>
      <c r="J1168" s="800">
        <f>I1168/H1168</f>
        <v>1.0532525333333334</v>
      </c>
      <c r="K1168" s="799">
        <f>H1168-I1168</f>
        <v>-183721.24000000022</v>
      </c>
      <c r="L1168" s="801">
        <f>SUM(L1166:L1167)</f>
        <v>500000</v>
      </c>
      <c r="M1168" s="801">
        <v>0</v>
      </c>
      <c r="N1168" s="802"/>
      <c r="O1168" s="801">
        <f>L1168-M1168</f>
        <v>500000</v>
      </c>
      <c r="P1168" s="801">
        <f t="shared" si="222"/>
        <v>3950000</v>
      </c>
      <c r="Q1168" s="801">
        <f t="shared" si="222"/>
        <v>3633721.24</v>
      </c>
      <c r="R1168" s="802">
        <f>Q1168/P1168</f>
        <v>0.91992942784810128</v>
      </c>
      <c r="S1168" s="801">
        <f>P1168-Q1168</f>
        <v>316278.75999999978</v>
      </c>
      <c r="T1168" s="84"/>
      <c r="AB1168" s="84">
        <f t="shared" si="221"/>
        <v>0</v>
      </c>
    </row>
    <row r="1169" spans="1:31" ht="28.5" collapsed="1" x14ac:dyDescent="0.25">
      <c r="A1169" s="84"/>
      <c r="B1169" s="84"/>
      <c r="C1169" s="84"/>
      <c r="D1169" s="84"/>
      <c r="E1169" s="784"/>
      <c r="F1169" s="785"/>
      <c r="G1169" s="803" t="s">
        <v>4975</v>
      </c>
      <c r="H1169" s="804"/>
      <c r="I1169" s="805"/>
      <c r="J1169" s="806"/>
      <c r="K1169" s="805"/>
      <c r="L1169" s="807"/>
      <c r="M1169" s="808"/>
      <c r="N1169" s="809"/>
      <c r="O1169" s="808"/>
      <c r="P1169" s="808"/>
      <c r="Q1169" s="808"/>
      <c r="R1169" s="809"/>
      <c r="S1169" s="878"/>
      <c r="T1169" s="84"/>
      <c r="AB1169" s="84">
        <f t="shared" si="221"/>
        <v>0</v>
      </c>
    </row>
    <row r="1170" spans="1:31" x14ac:dyDescent="0.25">
      <c r="A1170" s="84"/>
      <c r="B1170" s="84"/>
      <c r="C1170" s="84"/>
      <c r="D1170" s="84"/>
      <c r="E1170" s="791"/>
      <c r="F1170" s="792" t="s">
        <v>235</v>
      </c>
      <c r="G1170" s="793" t="s">
        <v>236</v>
      </c>
      <c r="H1170" s="794">
        <f>SUM(H1164)</f>
        <v>3450000</v>
      </c>
      <c r="I1170" s="794">
        <f>SUM(I1164)</f>
        <v>3633721.24</v>
      </c>
      <c r="J1170" s="795">
        <f>I1170/H1170</f>
        <v>1.0532525333333334</v>
      </c>
      <c r="K1170" s="794">
        <f>H1170-I1170</f>
        <v>-183721.24000000022</v>
      </c>
      <c r="L1170" s="796">
        <v>0</v>
      </c>
      <c r="M1170" s="796">
        <v>0</v>
      </c>
      <c r="N1170" s="797"/>
      <c r="O1170" s="796">
        <f>L1170-M1170</f>
        <v>0</v>
      </c>
      <c r="P1170" s="796">
        <f t="shared" ref="P1170:Q1172" si="223">L1170+H1170</f>
        <v>3450000</v>
      </c>
      <c r="Q1170" s="796">
        <f t="shared" si="223"/>
        <v>3633721.24</v>
      </c>
      <c r="R1170" s="797">
        <f>Q1170/P1170</f>
        <v>1.0532525333333334</v>
      </c>
      <c r="S1170" s="796">
        <f>P1170-Q1170</f>
        <v>-183721.24000000022</v>
      </c>
      <c r="T1170" s="84"/>
      <c r="AB1170" s="84">
        <f t="shared" si="221"/>
        <v>0</v>
      </c>
    </row>
    <row r="1171" spans="1:31" ht="15.75" thickBot="1" x14ac:dyDescent="0.3">
      <c r="E1171" s="791"/>
      <c r="F1171" s="817" t="s">
        <v>247</v>
      </c>
      <c r="G1171" s="793" t="s">
        <v>4745</v>
      </c>
      <c r="H1171" s="794">
        <v>0</v>
      </c>
      <c r="I1171" s="794">
        <v>0</v>
      </c>
      <c r="J1171" s="795"/>
      <c r="K1171" s="794">
        <v>0</v>
      </c>
      <c r="L1171" s="796">
        <f>L1167</f>
        <v>500000</v>
      </c>
      <c r="M1171" s="796">
        <f>SUM(M1168)</f>
        <v>0</v>
      </c>
      <c r="N1171" s="797"/>
      <c r="O1171" s="796">
        <f>L1171-M1171</f>
        <v>500000</v>
      </c>
      <c r="P1171" s="796">
        <f t="shared" si="223"/>
        <v>500000</v>
      </c>
      <c r="Q1171" s="796">
        <f t="shared" si="223"/>
        <v>0</v>
      </c>
      <c r="R1171" s="797">
        <f>Q1171/P1171</f>
        <v>0</v>
      </c>
      <c r="S1171" s="796">
        <f>P1171-Q1171</f>
        <v>500000</v>
      </c>
      <c r="AB1171" s="84">
        <f>Z1171-AA1171</f>
        <v>0</v>
      </c>
    </row>
    <row r="1172" spans="1:31" ht="15.75" collapsed="1" thickBot="1" x14ac:dyDescent="0.3">
      <c r="G1172" s="798" t="s">
        <v>4976</v>
      </c>
      <c r="H1172" s="799">
        <f>SUM(H1164)</f>
        <v>3450000</v>
      </c>
      <c r="I1172" s="799">
        <f>SUM(I1164)</f>
        <v>3633721.24</v>
      </c>
      <c r="J1172" s="800">
        <f>I1172/H1172</f>
        <v>1.0532525333333334</v>
      </c>
      <c r="K1172" s="799">
        <f>H1172-I1172</f>
        <v>-183721.24000000022</v>
      </c>
      <c r="L1172" s="801">
        <f>L1168</f>
        <v>500000</v>
      </c>
      <c r="M1172" s="801">
        <v>0</v>
      </c>
      <c r="N1172" s="802"/>
      <c r="O1172" s="801">
        <f>L1172-M1172</f>
        <v>500000</v>
      </c>
      <c r="P1172" s="801">
        <f t="shared" si="223"/>
        <v>3950000</v>
      </c>
      <c r="Q1172" s="801">
        <f t="shared" si="223"/>
        <v>3633721.24</v>
      </c>
      <c r="R1172" s="802">
        <f>Q1172/P1172</f>
        <v>0.91992942784810128</v>
      </c>
      <c r="S1172" s="801">
        <f>P1172-Q1172</f>
        <v>316278.75999999978</v>
      </c>
      <c r="AB1172" s="84">
        <f t="shared" si="221"/>
        <v>0</v>
      </c>
    </row>
    <row r="1173" spans="1:31" x14ac:dyDescent="0.25">
      <c r="G1173" s="811"/>
      <c r="H1173" s="812"/>
      <c r="I1173" s="812"/>
      <c r="J1173" s="813"/>
      <c r="K1173" s="812"/>
      <c r="L1173" s="814"/>
      <c r="M1173" s="814"/>
      <c r="N1173" s="815"/>
      <c r="O1173" s="814"/>
      <c r="P1173" s="814"/>
      <c r="Q1173" s="814"/>
      <c r="R1173" s="815"/>
      <c r="S1173" s="814"/>
      <c r="AB1173" s="84">
        <f t="shared" si="221"/>
        <v>0</v>
      </c>
    </row>
    <row r="1174" spans="1:31" x14ac:dyDescent="0.25">
      <c r="C1174" s="761" t="s">
        <v>5130</v>
      </c>
      <c r="D1174" s="770"/>
      <c r="G1174" s="869" t="s">
        <v>5131</v>
      </c>
      <c r="AB1174" s="84">
        <f t="shared" si="221"/>
        <v>0</v>
      </c>
    </row>
    <row r="1175" spans="1:31" s="972" customFormat="1" x14ac:dyDescent="0.25">
      <c r="A1175" s="767"/>
      <c r="B1175" s="768"/>
      <c r="C1175" s="968"/>
      <c r="D1175" s="986" t="s">
        <v>3870</v>
      </c>
      <c r="E1175" s="986"/>
      <c r="F1175" s="987"/>
      <c r="G1175" s="988" t="s">
        <v>99</v>
      </c>
      <c r="H1175" s="774"/>
      <c r="I1175" s="774"/>
      <c r="J1175" s="775"/>
      <c r="K1175" s="774"/>
      <c r="L1175" s="776"/>
      <c r="M1175" s="776"/>
      <c r="N1175" s="777"/>
      <c r="O1175" s="776"/>
      <c r="P1175" s="776"/>
      <c r="Q1175" s="776"/>
      <c r="R1175" s="777"/>
      <c r="S1175" s="970"/>
      <c r="T1175" s="971"/>
      <c r="V1175" s="973"/>
      <c r="W1175" s="973"/>
      <c r="X1175" s="833"/>
      <c r="Y1175" s="834"/>
      <c r="Z1175" s="830"/>
      <c r="AA1175" s="831"/>
      <c r="AB1175" s="972">
        <f t="shared" si="221"/>
        <v>0</v>
      </c>
    </row>
    <row r="1176" spans="1:31" ht="15.75" thickBot="1" x14ac:dyDescent="0.3">
      <c r="E1176" s="760" t="s">
        <v>5244</v>
      </c>
      <c r="F1176" s="782">
        <v>472</v>
      </c>
      <c r="G1176" s="783" t="s">
        <v>3817</v>
      </c>
      <c r="H1176" s="763">
        <v>1248000</v>
      </c>
      <c r="I1176" s="763">
        <f>866000+58000</f>
        <v>924000</v>
      </c>
      <c r="J1176" s="764">
        <f>I1176/H1176</f>
        <v>0.74038461538461542</v>
      </c>
      <c r="K1176" s="763">
        <f>H1176-I1176</f>
        <v>324000</v>
      </c>
      <c r="L1176" s="765">
        <v>3000000</v>
      </c>
      <c r="M1176" s="765">
        <v>0</v>
      </c>
      <c r="O1176" s="765">
        <f>L1176-M1176</f>
        <v>3000000</v>
      </c>
      <c r="P1176" s="765">
        <f>L1176+H1176</f>
        <v>4248000</v>
      </c>
      <c r="Q1176" s="765">
        <f>M1176+I1176</f>
        <v>924000</v>
      </c>
      <c r="R1176" s="766">
        <f>Q1176/P1176</f>
        <v>0.2175141242937853</v>
      </c>
      <c r="S1176" s="765">
        <f>P1176-Q1176</f>
        <v>3324000</v>
      </c>
      <c r="Y1176" s="834">
        <v>50000</v>
      </c>
      <c r="Z1176" s="830">
        <f>H1176-X1176+Y1176</f>
        <v>1298000</v>
      </c>
      <c r="AA1176" s="831">
        <v>1094000</v>
      </c>
      <c r="AB1176" s="84">
        <f t="shared" si="221"/>
        <v>204000</v>
      </c>
      <c r="AE1176" s="84">
        <f>H1176-AA1176</f>
        <v>154000</v>
      </c>
    </row>
    <row r="1177" spans="1:31" x14ac:dyDescent="0.25">
      <c r="E1177" s="784"/>
      <c r="F1177" s="785"/>
      <c r="G1177" s="786" t="s">
        <v>5132</v>
      </c>
      <c r="H1177" s="787"/>
      <c r="I1177" s="787"/>
      <c r="J1177" s="788"/>
      <c r="K1177" s="787"/>
      <c r="L1177" s="789"/>
      <c r="M1177" s="789"/>
      <c r="N1177" s="790"/>
      <c r="O1177" s="789"/>
      <c r="P1177" s="789"/>
      <c r="Q1177" s="789"/>
      <c r="R1177" s="790"/>
      <c r="S1177" s="877"/>
      <c r="AB1177" s="84">
        <f t="shared" si="221"/>
        <v>0</v>
      </c>
    </row>
    <row r="1178" spans="1:31" x14ac:dyDescent="0.25">
      <c r="E1178" s="791"/>
      <c r="F1178" s="817" t="s">
        <v>235</v>
      </c>
      <c r="G1178" s="793" t="s">
        <v>236</v>
      </c>
      <c r="H1178" s="794">
        <f>SUM(H1176)</f>
        <v>1248000</v>
      </c>
      <c r="I1178" s="794">
        <f>SUM(I1176)</f>
        <v>924000</v>
      </c>
      <c r="J1178" s="795">
        <f>I1178/H1178</f>
        <v>0.74038461538461542</v>
      </c>
      <c r="K1178" s="794">
        <f>H1178-I1178</f>
        <v>324000</v>
      </c>
      <c r="L1178" s="796">
        <v>0</v>
      </c>
      <c r="M1178" s="796">
        <v>0</v>
      </c>
      <c r="N1178" s="797"/>
      <c r="O1178" s="796">
        <f>L1178-M1178</f>
        <v>0</v>
      </c>
      <c r="P1178" s="796">
        <f t="shared" ref="P1178:Q1180" si="224">L1178+H1178</f>
        <v>1248000</v>
      </c>
      <c r="Q1178" s="796">
        <f t="shared" si="224"/>
        <v>924000</v>
      </c>
      <c r="R1178" s="797">
        <f>Q1178/P1178</f>
        <v>0.74038461538461542</v>
      </c>
      <c r="S1178" s="796">
        <f>P1178-Q1178</f>
        <v>324000</v>
      </c>
      <c r="AB1178" s="84">
        <f t="shared" si="221"/>
        <v>0</v>
      </c>
    </row>
    <row r="1179" spans="1:31" ht="15.75" thickBot="1" x14ac:dyDescent="0.3">
      <c r="E1179" s="791"/>
      <c r="F1179" s="817" t="s">
        <v>247</v>
      </c>
      <c r="G1179" s="793" t="s">
        <v>4745</v>
      </c>
      <c r="H1179" s="794">
        <v>0</v>
      </c>
      <c r="I1179" s="794">
        <v>0</v>
      </c>
      <c r="J1179" s="795"/>
      <c r="K1179" s="794">
        <v>0</v>
      </c>
      <c r="L1179" s="796">
        <f>L1176</f>
        <v>3000000</v>
      </c>
      <c r="M1179" s="796">
        <f>SUM(M1176)</f>
        <v>0</v>
      </c>
      <c r="N1179" s="797"/>
      <c r="O1179" s="796">
        <f>L1179-M1179</f>
        <v>3000000</v>
      </c>
      <c r="P1179" s="796">
        <f t="shared" si="224"/>
        <v>3000000</v>
      </c>
      <c r="Q1179" s="796">
        <f t="shared" si="224"/>
        <v>0</v>
      </c>
      <c r="R1179" s="797">
        <f>Q1179/P1179</f>
        <v>0</v>
      </c>
      <c r="S1179" s="796">
        <f>P1179-Q1179</f>
        <v>3000000</v>
      </c>
      <c r="AB1179" s="84">
        <f t="shared" si="221"/>
        <v>0</v>
      </c>
    </row>
    <row r="1180" spans="1:31" ht="15.75" thickBot="1" x14ac:dyDescent="0.3">
      <c r="A1180" s="84"/>
      <c r="B1180" s="84"/>
      <c r="C1180" s="84"/>
      <c r="D1180" s="84"/>
      <c r="G1180" s="798" t="s">
        <v>4974</v>
      </c>
      <c r="H1180" s="799">
        <f>SUM(H1178:H1178)</f>
        <v>1248000</v>
      </c>
      <c r="I1180" s="799">
        <f>SUM(I1178:I1178)</f>
        <v>924000</v>
      </c>
      <c r="J1180" s="800">
        <f>I1180/H1180</f>
        <v>0.74038461538461542</v>
      </c>
      <c r="K1180" s="799">
        <f>H1180-I1180</f>
        <v>324000</v>
      </c>
      <c r="L1180" s="801">
        <f>SUM(L1178:L1179)</f>
        <v>3000000</v>
      </c>
      <c r="M1180" s="801">
        <f>SUM(M1178:M1179)</f>
        <v>0</v>
      </c>
      <c r="N1180" s="802"/>
      <c r="O1180" s="801">
        <f>L1180-M1180</f>
        <v>3000000</v>
      </c>
      <c r="P1180" s="801">
        <f t="shared" si="224"/>
        <v>4248000</v>
      </c>
      <c r="Q1180" s="801">
        <f t="shared" si="224"/>
        <v>924000</v>
      </c>
      <c r="R1180" s="802">
        <f>Q1180/P1180</f>
        <v>0.2175141242937853</v>
      </c>
      <c r="S1180" s="801">
        <f>P1180-Q1180</f>
        <v>3324000</v>
      </c>
      <c r="T1180" s="84"/>
      <c r="AB1180" s="84">
        <f t="shared" si="221"/>
        <v>0</v>
      </c>
    </row>
    <row r="1181" spans="1:31" ht="28.5" collapsed="1" x14ac:dyDescent="0.25">
      <c r="A1181" s="84"/>
      <c r="B1181" s="84"/>
      <c r="C1181" s="84"/>
      <c r="D1181" s="84"/>
      <c r="E1181" s="784"/>
      <c r="F1181" s="785"/>
      <c r="G1181" s="803" t="s">
        <v>5133</v>
      </c>
      <c r="H1181" s="804"/>
      <c r="I1181" s="805"/>
      <c r="J1181" s="806"/>
      <c r="K1181" s="805"/>
      <c r="L1181" s="807"/>
      <c r="M1181" s="808"/>
      <c r="N1181" s="809"/>
      <c r="O1181" s="808"/>
      <c r="P1181" s="808"/>
      <c r="Q1181" s="808"/>
      <c r="R1181" s="809"/>
      <c r="S1181" s="878"/>
      <c r="T1181" s="84"/>
      <c r="AB1181" s="84">
        <f t="shared" si="221"/>
        <v>0</v>
      </c>
    </row>
    <row r="1182" spans="1:31" x14ac:dyDescent="0.25">
      <c r="A1182" s="84"/>
      <c r="B1182" s="84"/>
      <c r="C1182" s="84"/>
      <c r="D1182" s="84"/>
      <c r="E1182" s="791"/>
      <c r="F1182" s="817" t="s">
        <v>235</v>
      </c>
      <c r="G1182" s="793" t="s">
        <v>236</v>
      </c>
      <c r="H1182" s="794">
        <f>SUM(H1176)</f>
        <v>1248000</v>
      </c>
      <c r="I1182" s="794">
        <f>SUM(I1176)</f>
        <v>924000</v>
      </c>
      <c r="J1182" s="795">
        <f>I1182/H1182</f>
        <v>0.74038461538461542</v>
      </c>
      <c r="K1182" s="794">
        <f>H1182-I1182</f>
        <v>324000</v>
      </c>
      <c r="L1182" s="796">
        <f>SUM(L1178)</f>
        <v>0</v>
      </c>
      <c r="M1182" s="796">
        <f>SUM(M1178)</f>
        <v>0</v>
      </c>
      <c r="N1182" s="797"/>
      <c r="O1182" s="796">
        <f>L1182-M1182</f>
        <v>0</v>
      </c>
      <c r="P1182" s="796">
        <f>L1182+H1182</f>
        <v>1248000</v>
      </c>
      <c r="Q1182" s="796">
        <f>M1182+I1182</f>
        <v>924000</v>
      </c>
      <c r="R1182" s="797">
        <f>Q1182/P1182</f>
        <v>0.74038461538461542</v>
      </c>
      <c r="S1182" s="796">
        <f>P1182-Q1182</f>
        <v>324000</v>
      </c>
      <c r="T1182" s="84"/>
      <c r="AB1182" s="84">
        <f t="shared" si="221"/>
        <v>0</v>
      </c>
    </row>
    <row r="1183" spans="1:31" ht="15.75" thickBot="1" x14ac:dyDescent="0.3">
      <c r="A1183" s="84"/>
      <c r="B1183" s="84"/>
      <c r="C1183" s="84"/>
      <c r="D1183" s="84"/>
      <c r="E1183" s="791"/>
      <c r="F1183" s="817" t="s">
        <v>247</v>
      </c>
      <c r="G1183" s="793" t="s">
        <v>4745</v>
      </c>
      <c r="H1183" s="794"/>
      <c r="I1183" s="794"/>
      <c r="J1183" s="795"/>
      <c r="K1183" s="794"/>
      <c r="L1183" s="796">
        <f>SUM(L1179)</f>
        <v>3000000</v>
      </c>
      <c r="M1183" s="796">
        <f>SUM(M1179)</f>
        <v>0</v>
      </c>
      <c r="N1183" s="797"/>
      <c r="O1183" s="796">
        <f>L1183-M1183</f>
        <v>3000000</v>
      </c>
      <c r="P1183" s="796">
        <f>P1179</f>
        <v>3000000</v>
      </c>
      <c r="Q1183" s="796">
        <f>Q1179</f>
        <v>0</v>
      </c>
      <c r="R1183" s="797">
        <f>Q1183/P1183</f>
        <v>0</v>
      </c>
      <c r="S1183" s="796">
        <f>P1183-Q1183</f>
        <v>3000000</v>
      </c>
      <c r="T1183" s="84"/>
      <c r="AB1183" s="84">
        <f t="shared" si="221"/>
        <v>0</v>
      </c>
    </row>
    <row r="1184" spans="1:31" ht="15.75" collapsed="1" thickBot="1" x14ac:dyDescent="0.3">
      <c r="G1184" s="798" t="s">
        <v>5134</v>
      </c>
      <c r="H1184" s="799">
        <f>SUM(H1176)</f>
        <v>1248000</v>
      </c>
      <c r="I1184" s="799">
        <f>SUM(I1176)</f>
        <v>924000</v>
      </c>
      <c r="J1184" s="800">
        <f>I1184/H1184</f>
        <v>0.74038461538461542</v>
      </c>
      <c r="K1184" s="799">
        <f>H1184-I1184</f>
        <v>324000</v>
      </c>
      <c r="L1184" s="801">
        <f>SUM(L1182:L1183)</f>
        <v>3000000</v>
      </c>
      <c r="M1184" s="801">
        <f>SUM(M1182:M1183)</f>
        <v>0</v>
      </c>
      <c r="N1184" s="802"/>
      <c r="O1184" s="801">
        <f>L1184-M1184</f>
        <v>3000000</v>
      </c>
      <c r="P1184" s="801">
        <f>SUM(P1182:P1183)</f>
        <v>4248000</v>
      </c>
      <c r="Q1184" s="801">
        <f>M1184+I1184</f>
        <v>924000</v>
      </c>
      <c r="R1184" s="802">
        <f>Q1184/P1184</f>
        <v>0.2175141242937853</v>
      </c>
      <c r="S1184" s="801">
        <f>P1184-Q1184</f>
        <v>3324000</v>
      </c>
      <c r="AB1184" s="84">
        <f t="shared" si="221"/>
        <v>0</v>
      </c>
    </row>
    <row r="1185" spans="1:31" x14ac:dyDescent="0.25">
      <c r="G1185" s="811"/>
      <c r="H1185" s="812"/>
      <c r="I1185" s="812"/>
      <c r="J1185" s="813"/>
      <c r="K1185" s="812"/>
      <c r="L1185" s="814"/>
      <c r="M1185" s="814"/>
      <c r="N1185" s="815"/>
      <c r="O1185" s="814"/>
      <c r="P1185" s="814"/>
      <c r="Q1185" s="814"/>
      <c r="R1185" s="815"/>
      <c r="S1185" s="814"/>
      <c r="AB1185" s="84">
        <f t="shared" si="221"/>
        <v>0</v>
      </c>
    </row>
    <row r="1186" spans="1:31" x14ac:dyDescent="0.25">
      <c r="C1186" s="761" t="s">
        <v>5082</v>
      </c>
      <c r="D1186" s="770"/>
      <c r="G1186" s="869" t="s">
        <v>5083</v>
      </c>
      <c r="S1186" s="814"/>
      <c r="AB1186" s="84">
        <f t="shared" si="221"/>
        <v>0</v>
      </c>
    </row>
    <row r="1187" spans="1:31" ht="30" x14ac:dyDescent="0.25">
      <c r="A1187" s="767"/>
      <c r="B1187" s="768"/>
      <c r="C1187" s="968"/>
      <c r="D1187" s="986" t="s">
        <v>3876</v>
      </c>
      <c r="E1187" s="986"/>
      <c r="F1187" s="987"/>
      <c r="G1187" s="988" t="s">
        <v>3877</v>
      </c>
      <c r="H1187" s="774"/>
      <c r="I1187" s="774"/>
      <c r="J1187" s="775"/>
      <c r="K1187" s="774"/>
      <c r="L1187" s="776"/>
      <c r="M1187" s="776"/>
      <c r="N1187" s="777"/>
      <c r="O1187" s="776"/>
      <c r="P1187" s="776"/>
      <c r="Q1187" s="776"/>
      <c r="R1187" s="777"/>
      <c r="S1187" s="814"/>
      <c r="AB1187" s="84">
        <f t="shared" si="221"/>
        <v>0</v>
      </c>
    </row>
    <row r="1188" spans="1:31" ht="15.75" thickBot="1" x14ac:dyDescent="0.3">
      <c r="E1188" s="760" t="s">
        <v>5245</v>
      </c>
      <c r="F1188" s="782">
        <v>472</v>
      </c>
      <c r="G1188" s="783" t="s">
        <v>3817</v>
      </c>
      <c r="H1188" s="763">
        <v>0</v>
      </c>
      <c r="I1188" s="763">
        <v>0</v>
      </c>
      <c r="K1188" s="763">
        <f>H1188-I1188</f>
        <v>0</v>
      </c>
      <c r="L1188" s="765">
        <v>7900000</v>
      </c>
      <c r="M1188" s="765">
        <f>3609824.11+1889273.1</f>
        <v>5499097.21</v>
      </c>
      <c r="N1188" s="766">
        <f>M1188/L1188</f>
        <v>0.69608825443037969</v>
      </c>
      <c r="O1188" s="765">
        <f>L1188-M1188</f>
        <v>2400902.79</v>
      </c>
      <c r="P1188" s="765">
        <f>L1188+H1188</f>
        <v>7900000</v>
      </c>
      <c r="Q1188" s="765">
        <f>M1188+I1188</f>
        <v>5499097.21</v>
      </c>
      <c r="R1188" s="766">
        <f>Q1188/P1188</f>
        <v>0.69608825443037969</v>
      </c>
      <c r="S1188" s="819">
        <f>P1188-Q1188</f>
        <v>2400902.79</v>
      </c>
      <c r="Z1188" s="830">
        <f>H1188-X1188+Y1188</f>
        <v>0</v>
      </c>
      <c r="AA1188" s="831">
        <v>0</v>
      </c>
      <c r="AB1188" s="84">
        <f t="shared" si="221"/>
        <v>0</v>
      </c>
      <c r="AE1188" s="84">
        <f>H1188-AA1188</f>
        <v>0</v>
      </c>
    </row>
    <row r="1189" spans="1:31" x14ac:dyDescent="0.25">
      <c r="E1189" s="784"/>
      <c r="F1189" s="785"/>
      <c r="G1189" s="786" t="s">
        <v>5081</v>
      </c>
      <c r="H1189" s="787"/>
      <c r="I1189" s="787"/>
      <c r="J1189" s="788"/>
      <c r="K1189" s="787"/>
      <c r="L1189" s="789"/>
      <c r="M1189" s="789"/>
      <c r="N1189" s="790"/>
      <c r="O1189" s="789"/>
      <c r="P1189" s="789"/>
      <c r="Q1189" s="789"/>
      <c r="R1189" s="790"/>
      <c r="S1189" s="814"/>
      <c r="AB1189" s="84">
        <f t="shared" si="221"/>
        <v>0</v>
      </c>
    </row>
    <row r="1190" spans="1:31" ht="15.75" thickBot="1" x14ac:dyDescent="0.3">
      <c r="E1190" s="791"/>
      <c r="F1190" s="817" t="s">
        <v>245</v>
      </c>
      <c r="G1190" s="793" t="s">
        <v>246</v>
      </c>
      <c r="H1190" s="794">
        <f>SUM(H1188)</f>
        <v>0</v>
      </c>
      <c r="I1190" s="794">
        <f>SUM(I1188)</f>
        <v>0</v>
      </c>
      <c r="J1190" s="795"/>
      <c r="K1190" s="794">
        <f>H1190-I1190</f>
        <v>0</v>
      </c>
      <c r="L1190" s="796">
        <f>SUM(L1188)</f>
        <v>7900000</v>
      </c>
      <c r="M1190" s="796">
        <f>SUM(M1188)</f>
        <v>5499097.21</v>
      </c>
      <c r="N1190" s="797">
        <f>M1190/L1190</f>
        <v>0.69608825443037969</v>
      </c>
      <c r="O1190" s="796">
        <f>L1190-M1190</f>
        <v>2400902.79</v>
      </c>
      <c r="P1190" s="796">
        <f>L1190+H1190</f>
        <v>7900000</v>
      </c>
      <c r="Q1190" s="796">
        <f>M1190+I1190</f>
        <v>5499097.21</v>
      </c>
      <c r="R1190" s="797">
        <f>Q1190/P1190</f>
        <v>0.69608825443037969</v>
      </c>
      <c r="S1190" s="819">
        <f>P1190-Q1190</f>
        <v>2400902.79</v>
      </c>
      <c r="AB1190" s="84">
        <f t="shared" si="221"/>
        <v>0</v>
      </c>
    </row>
    <row r="1191" spans="1:31" ht="15.75" thickBot="1" x14ac:dyDescent="0.3">
      <c r="A1191" s="84"/>
      <c r="B1191" s="84"/>
      <c r="C1191" s="84"/>
      <c r="D1191" s="84"/>
      <c r="G1191" s="798" t="s">
        <v>5080</v>
      </c>
      <c r="H1191" s="799">
        <f>SUM(H1190:H1190)</f>
        <v>0</v>
      </c>
      <c r="I1191" s="799">
        <f>SUM(I1190:I1190)</f>
        <v>0</v>
      </c>
      <c r="J1191" s="800"/>
      <c r="K1191" s="799">
        <f>H1191-I1191</f>
        <v>0</v>
      </c>
      <c r="L1191" s="801">
        <f>SUM(L1190)</f>
        <v>7900000</v>
      </c>
      <c r="M1191" s="801">
        <f>SUM(M1190)</f>
        <v>5499097.21</v>
      </c>
      <c r="N1191" s="802">
        <f>M1191/L1191</f>
        <v>0.69608825443037969</v>
      </c>
      <c r="O1191" s="801">
        <f>L1191-M1191</f>
        <v>2400902.79</v>
      </c>
      <c r="P1191" s="801">
        <f>L1191+H1191</f>
        <v>7900000</v>
      </c>
      <c r="Q1191" s="801">
        <f>M1191+I1191</f>
        <v>5499097.21</v>
      </c>
      <c r="R1191" s="802">
        <f>Q1191/P1191</f>
        <v>0.69608825443037969</v>
      </c>
      <c r="S1191" s="1015">
        <f>P1191-Q1191</f>
        <v>2400902.79</v>
      </c>
      <c r="AB1191" s="84">
        <f t="shared" si="221"/>
        <v>0</v>
      </c>
    </row>
    <row r="1192" spans="1:31" x14ac:dyDescent="0.25">
      <c r="A1192" s="84"/>
      <c r="B1192" s="84"/>
      <c r="C1192" s="84"/>
      <c r="D1192" s="84"/>
      <c r="E1192" s="784"/>
      <c r="F1192" s="785"/>
      <c r="G1192" s="803" t="s">
        <v>5084</v>
      </c>
      <c r="H1192" s="804"/>
      <c r="I1192" s="805"/>
      <c r="J1192" s="806"/>
      <c r="K1192" s="805"/>
      <c r="L1192" s="807"/>
      <c r="M1192" s="808"/>
      <c r="N1192" s="809"/>
      <c r="O1192" s="808"/>
      <c r="P1192" s="808"/>
      <c r="Q1192" s="808"/>
      <c r="R1192" s="809"/>
      <c r="S1192" s="814"/>
      <c r="AB1192" s="84">
        <f t="shared" si="221"/>
        <v>0</v>
      </c>
    </row>
    <row r="1193" spans="1:31" ht="15.75" thickBot="1" x14ac:dyDescent="0.3">
      <c r="A1193" s="84"/>
      <c r="B1193" s="84"/>
      <c r="C1193" s="84"/>
      <c r="D1193" s="84"/>
      <c r="E1193" s="791"/>
      <c r="F1193" s="817" t="s">
        <v>245</v>
      </c>
      <c r="G1193" s="793" t="s">
        <v>246</v>
      </c>
      <c r="H1193" s="794">
        <f>SUM(H1188)</f>
        <v>0</v>
      </c>
      <c r="I1193" s="794">
        <f>SUM(I1188)</f>
        <v>0</v>
      </c>
      <c r="J1193" s="795"/>
      <c r="K1193" s="794">
        <f>H1193-I1193</f>
        <v>0</v>
      </c>
      <c r="L1193" s="796">
        <f>SUM(L1190)</f>
        <v>7900000</v>
      </c>
      <c r="M1193" s="796">
        <f>SUM(M1190)</f>
        <v>5499097.21</v>
      </c>
      <c r="N1193" s="797">
        <f>M1193/L1193</f>
        <v>0.69608825443037969</v>
      </c>
      <c r="O1193" s="796">
        <f>L1193-M1193</f>
        <v>2400902.79</v>
      </c>
      <c r="P1193" s="796">
        <f>L1193+H1193</f>
        <v>7900000</v>
      </c>
      <c r="Q1193" s="796">
        <f>M1193+I1193</f>
        <v>5499097.21</v>
      </c>
      <c r="R1193" s="797">
        <f>Q1193/P1193</f>
        <v>0.69608825443037969</v>
      </c>
      <c r="S1193" s="819">
        <f>P1193-Q1193</f>
        <v>2400902.79</v>
      </c>
      <c r="AB1193" s="84">
        <f t="shared" si="221"/>
        <v>0</v>
      </c>
    </row>
    <row r="1194" spans="1:31" ht="15.75" thickBot="1" x14ac:dyDescent="0.3">
      <c r="G1194" s="798" t="s">
        <v>5085</v>
      </c>
      <c r="H1194" s="799">
        <f>SUM(H1188)</f>
        <v>0</v>
      </c>
      <c r="I1194" s="799">
        <f>SUM(I1188)</f>
        <v>0</v>
      </c>
      <c r="J1194" s="800"/>
      <c r="K1194" s="799">
        <f>H1194-I1194</f>
        <v>0</v>
      </c>
      <c r="L1194" s="801">
        <f>SUM(L1193)</f>
        <v>7900000</v>
      </c>
      <c r="M1194" s="801">
        <f>SUM(M1193)</f>
        <v>5499097.21</v>
      </c>
      <c r="N1194" s="802">
        <f>M1194/L1194</f>
        <v>0.69608825443037969</v>
      </c>
      <c r="O1194" s="801">
        <f>L1194-M1194</f>
        <v>2400902.79</v>
      </c>
      <c r="P1194" s="801">
        <f>L1194+H1194</f>
        <v>7900000</v>
      </c>
      <c r="Q1194" s="801">
        <f>M1194+I1194</f>
        <v>5499097.21</v>
      </c>
      <c r="R1194" s="802">
        <f>Q1194/P1194</f>
        <v>0.69608825443037969</v>
      </c>
      <c r="S1194" s="801">
        <f>P1194-Q1194</f>
        <v>2400902.79</v>
      </c>
      <c r="AB1194" s="84">
        <f t="shared" si="221"/>
        <v>0</v>
      </c>
    </row>
    <row r="1195" spans="1:31" x14ac:dyDescent="0.25">
      <c r="G1195" s="811"/>
      <c r="H1195" s="812"/>
      <c r="I1195" s="812"/>
      <c r="J1195" s="813"/>
      <c r="K1195" s="812"/>
      <c r="L1195" s="814"/>
      <c r="M1195" s="814"/>
      <c r="N1195" s="815"/>
      <c r="O1195" s="814"/>
      <c r="P1195" s="814"/>
      <c r="Q1195" s="814"/>
      <c r="R1195" s="815"/>
      <c r="S1195" s="814"/>
      <c r="AB1195" s="84">
        <f t="shared" si="221"/>
        <v>0</v>
      </c>
    </row>
    <row r="1196" spans="1:31" ht="28.5" x14ac:dyDescent="0.25">
      <c r="C1196" s="761" t="s">
        <v>5119</v>
      </c>
      <c r="D1196" s="770"/>
      <c r="G1196" s="869" t="s">
        <v>5120</v>
      </c>
      <c r="AB1196" s="84">
        <f t="shared" si="221"/>
        <v>0</v>
      </c>
    </row>
    <row r="1197" spans="1:31" s="972" customFormat="1" ht="30" x14ac:dyDescent="0.25">
      <c r="A1197" s="767"/>
      <c r="B1197" s="768"/>
      <c r="C1197" s="968"/>
      <c r="D1197" s="986" t="s">
        <v>3876</v>
      </c>
      <c r="E1197" s="986"/>
      <c r="F1197" s="987"/>
      <c r="G1197" s="988" t="s">
        <v>104</v>
      </c>
      <c r="H1197" s="774"/>
      <c r="I1197" s="774"/>
      <c r="J1197" s="775"/>
      <c r="K1197" s="774"/>
      <c r="L1197" s="776"/>
      <c r="M1197" s="776"/>
      <c r="N1197" s="777"/>
      <c r="O1197" s="776"/>
      <c r="P1197" s="776"/>
      <c r="Q1197" s="776"/>
      <c r="R1197" s="777"/>
      <c r="S1197" s="970"/>
      <c r="T1197" s="971"/>
      <c r="V1197" s="973"/>
      <c r="W1197" s="973"/>
      <c r="X1197" s="833"/>
      <c r="Y1197" s="834"/>
      <c r="Z1197" s="830"/>
      <c r="AA1197" s="831"/>
      <c r="AB1197" s="972">
        <f t="shared" si="221"/>
        <v>0</v>
      </c>
    </row>
    <row r="1198" spans="1:31" ht="15.75" thickBot="1" x14ac:dyDescent="0.3">
      <c r="E1198" s="760" t="s">
        <v>5246</v>
      </c>
      <c r="F1198" s="782">
        <v>472</v>
      </c>
      <c r="G1198" s="783" t="s">
        <v>3817</v>
      </c>
      <c r="H1198" s="763">
        <v>500000</v>
      </c>
      <c r="I1198" s="763">
        <v>0</v>
      </c>
      <c r="J1198" s="764">
        <f>I1198/H1198</f>
        <v>0</v>
      </c>
      <c r="K1198" s="763">
        <f>H1198-I1198</f>
        <v>500000</v>
      </c>
      <c r="L1198" s="765">
        <f>SUM(L1201:L1202)</f>
        <v>11000000</v>
      </c>
      <c r="M1198" s="765">
        <v>0</v>
      </c>
      <c r="N1198" s="766">
        <f>M1198/L1198</f>
        <v>0</v>
      </c>
      <c r="O1198" s="765">
        <f>L1198-M1198</f>
        <v>11000000</v>
      </c>
      <c r="P1198" s="765">
        <f>L1198+H1198</f>
        <v>11500000</v>
      </c>
      <c r="Q1198" s="765">
        <f>M1198+I1198</f>
        <v>0</v>
      </c>
      <c r="R1198" s="766">
        <f>Q1198/P1198</f>
        <v>0</v>
      </c>
      <c r="S1198" s="765">
        <f>P1198-Q1198</f>
        <v>11500000</v>
      </c>
      <c r="V1198" s="203">
        <v>453625</v>
      </c>
      <c r="Y1198" s="834">
        <v>253625</v>
      </c>
      <c r="Z1198" s="830">
        <f>H1198-X1198+Y1198</f>
        <v>753625</v>
      </c>
      <c r="AA1198" s="831">
        <v>200000</v>
      </c>
      <c r="AB1198" s="84">
        <f t="shared" si="221"/>
        <v>553625</v>
      </c>
      <c r="AE1198" s="84">
        <f>H1198-AA1198</f>
        <v>300000</v>
      </c>
    </row>
    <row r="1199" spans="1:31" x14ac:dyDescent="0.25">
      <c r="E1199" s="784"/>
      <c r="F1199" s="785"/>
      <c r="G1199" s="786" t="s">
        <v>5081</v>
      </c>
      <c r="H1199" s="787"/>
      <c r="I1199" s="787"/>
      <c r="J1199" s="788"/>
      <c r="K1199" s="787"/>
      <c r="L1199" s="789"/>
      <c r="M1199" s="789"/>
      <c r="N1199" s="790"/>
      <c r="O1199" s="789"/>
      <c r="P1199" s="789"/>
      <c r="Q1199" s="789"/>
      <c r="R1199" s="790"/>
      <c r="S1199" s="877"/>
      <c r="AB1199" s="84">
        <f t="shared" si="221"/>
        <v>0</v>
      </c>
    </row>
    <row r="1200" spans="1:31" x14ac:dyDescent="0.25">
      <c r="E1200" s="791"/>
      <c r="F1200" s="792" t="s">
        <v>235</v>
      </c>
      <c r="G1200" s="793" t="s">
        <v>236</v>
      </c>
      <c r="H1200" s="794">
        <f>SUM(H1198)</f>
        <v>500000</v>
      </c>
      <c r="I1200" s="794">
        <f>SUM(I1198)</f>
        <v>0</v>
      </c>
      <c r="J1200" s="795">
        <f>I1200/H1200</f>
        <v>0</v>
      </c>
      <c r="K1200" s="794">
        <f>H1200-I1200</f>
        <v>500000</v>
      </c>
      <c r="L1200" s="796">
        <v>0</v>
      </c>
      <c r="M1200" s="796">
        <v>0</v>
      </c>
      <c r="N1200" s="797"/>
      <c r="O1200" s="796">
        <f>L1200-M1200</f>
        <v>0</v>
      </c>
      <c r="P1200" s="796">
        <f t="shared" ref="P1200:Q1202" si="225">L1200+H1200</f>
        <v>500000</v>
      </c>
      <c r="Q1200" s="796">
        <f t="shared" si="225"/>
        <v>0</v>
      </c>
      <c r="R1200" s="797">
        <f>Q1200/P1200</f>
        <v>0</v>
      </c>
      <c r="S1200" s="796">
        <f>P1200-Q1200</f>
        <v>500000</v>
      </c>
      <c r="AB1200" s="84">
        <f t="shared" si="221"/>
        <v>0</v>
      </c>
    </row>
    <row r="1201" spans="1:28" x14ac:dyDescent="0.25">
      <c r="E1201" s="791"/>
      <c r="F1201" s="817" t="s">
        <v>247</v>
      </c>
      <c r="G1201" s="793" t="s">
        <v>4745</v>
      </c>
      <c r="H1201" s="794">
        <v>0</v>
      </c>
      <c r="I1201" s="794">
        <v>0</v>
      </c>
      <c r="J1201" s="795"/>
      <c r="K1201" s="794">
        <v>0</v>
      </c>
      <c r="L1201" s="796">
        <v>10000000</v>
      </c>
      <c r="M1201" s="796">
        <v>0</v>
      </c>
      <c r="N1201" s="797">
        <f>M1201/L1201</f>
        <v>0</v>
      </c>
      <c r="O1201" s="796">
        <f>L1201-M1201</f>
        <v>10000000</v>
      </c>
      <c r="P1201" s="796">
        <f t="shared" si="225"/>
        <v>10000000</v>
      </c>
      <c r="Q1201" s="796">
        <f t="shared" si="225"/>
        <v>0</v>
      </c>
      <c r="R1201" s="797">
        <f>Q1201/P1201</f>
        <v>0</v>
      </c>
      <c r="S1201" s="796">
        <f>P1201-Q1201</f>
        <v>10000000</v>
      </c>
      <c r="AB1201" s="84">
        <f t="shared" si="221"/>
        <v>0</v>
      </c>
    </row>
    <row r="1202" spans="1:28" ht="15.75" thickBot="1" x14ac:dyDescent="0.3">
      <c r="E1202" s="791"/>
      <c r="F1202" s="792">
        <v>13</v>
      </c>
      <c r="G1202" s="793" t="s">
        <v>5047</v>
      </c>
      <c r="H1202" s="794">
        <v>0</v>
      </c>
      <c r="I1202" s="794">
        <v>0</v>
      </c>
      <c r="J1202" s="795"/>
      <c r="K1202" s="794">
        <v>0</v>
      </c>
      <c r="L1202" s="796">
        <v>1000000</v>
      </c>
      <c r="M1202" s="796">
        <v>0</v>
      </c>
      <c r="N1202" s="797">
        <f>M1202/L1202</f>
        <v>0</v>
      </c>
      <c r="O1202" s="796">
        <f>L1202-M1202</f>
        <v>1000000</v>
      </c>
      <c r="P1202" s="796">
        <f t="shared" si="225"/>
        <v>1000000</v>
      </c>
      <c r="Q1202" s="796">
        <f t="shared" si="225"/>
        <v>0</v>
      </c>
      <c r="R1202" s="797">
        <f>Q1202/P1202</f>
        <v>0</v>
      </c>
      <c r="S1202" s="796">
        <f>P1202-Q1202</f>
        <v>1000000</v>
      </c>
      <c r="AB1202" s="84">
        <f t="shared" si="221"/>
        <v>0</v>
      </c>
    </row>
    <row r="1203" spans="1:28" ht="15.75" thickBot="1" x14ac:dyDescent="0.3">
      <c r="A1203" s="84"/>
      <c r="B1203" s="84"/>
      <c r="C1203" s="84"/>
      <c r="D1203" s="84"/>
      <c r="G1203" s="798" t="s">
        <v>5080</v>
      </c>
      <c r="H1203" s="799">
        <f>SUM(H1200:H1202)</f>
        <v>500000</v>
      </c>
      <c r="I1203" s="799">
        <f>SUM(I1200:I1202)</f>
        <v>0</v>
      </c>
      <c r="J1203" s="800">
        <f>I1203/H1203</f>
        <v>0</v>
      </c>
      <c r="K1203" s="799">
        <f>SUM(K1200:K1202)</f>
        <v>500000</v>
      </c>
      <c r="L1203" s="801">
        <f>SUM(L1200:L1202)</f>
        <v>11000000</v>
      </c>
      <c r="M1203" s="801">
        <f>SUM(M1200:M1202)</f>
        <v>0</v>
      </c>
      <c r="N1203" s="802">
        <f>M1203/L1203</f>
        <v>0</v>
      </c>
      <c r="O1203" s="801">
        <f>SUM(O1200:O1202)</f>
        <v>11000000</v>
      </c>
      <c r="P1203" s="801">
        <f>SUM(P1200:P1202)</f>
        <v>11500000</v>
      </c>
      <c r="Q1203" s="801">
        <f>SUM(Q1200:Q1202)</f>
        <v>0</v>
      </c>
      <c r="R1203" s="802">
        <f>Q1203/P1203</f>
        <v>0</v>
      </c>
      <c r="S1203" s="801">
        <f>P1203-Q1203</f>
        <v>11500000</v>
      </c>
      <c r="T1203" s="84"/>
      <c r="AB1203" s="84">
        <f t="shared" si="221"/>
        <v>0</v>
      </c>
    </row>
    <row r="1204" spans="1:28" collapsed="1" x14ac:dyDescent="0.25">
      <c r="A1204" s="84"/>
      <c r="B1204" s="84"/>
      <c r="C1204" s="84"/>
      <c r="D1204" s="84"/>
      <c r="E1204" s="784"/>
      <c r="F1204" s="785"/>
      <c r="G1204" s="803" t="s">
        <v>5121</v>
      </c>
      <c r="H1204" s="804"/>
      <c r="I1204" s="805"/>
      <c r="J1204" s="806"/>
      <c r="K1204" s="805"/>
      <c r="L1204" s="807"/>
      <c r="M1204" s="808"/>
      <c r="N1204" s="809"/>
      <c r="O1204" s="808"/>
      <c r="P1204" s="808"/>
      <c r="Q1204" s="808"/>
      <c r="R1204" s="809"/>
      <c r="S1204" s="878"/>
      <c r="T1204" s="84"/>
      <c r="AB1204" s="84">
        <f t="shared" si="221"/>
        <v>0</v>
      </c>
    </row>
    <row r="1205" spans="1:28" x14ac:dyDescent="0.25">
      <c r="A1205" s="84"/>
      <c r="B1205" s="84"/>
      <c r="C1205" s="84"/>
      <c r="D1205" s="84"/>
      <c r="E1205" s="791"/>
      <c r="F1205" s="792" t="s">
        <v>235</v>
      </c>
      <c r="G1205" s="793" t="s">
        <v>236</v>
      </c>
      <c r="H1205" s="794">
        <f t="shared" ref="H1205:M1205" si="226">SUM(H1200)</f>
        <v>500000</v>
      </c>
      <c r="I1205" s="794">
        <f t="shared" si="226"/>
        <v>0</v>
      </c>
      <c r="J1205" s="795">
        <f t="shared" si="226"/>
        <v>0</v>
      </c>
      <c r="K1205" s="794">
        <f t="shared" si="226"/>
        <v>500000</v>
      </c>
      <c r="L1205" s="796">
        <f t="shared" si="226"/>
        <v>0</v>
      </c>
      <c r="M1205" s="796">
        <f t="shared" si="226"/>
        <v>0</v>
      </c>
      <c r="N1205" s="797"/>
      <c r="O1205" s="796">
        <f>SUM(O1200)</f>
        <v>0</v>
      </c>
      <c r="P1205" s="796">
        <f>SUM(P1200)</f>
        <v>500000</v>
      </c>
      <c r="Q1205" s="796">
        <f>SUM(Q1200)</f>
        <v>0</v>
      </c>
      <c r="R1205" s="797">
        <f>SUM(R1200)</f>
        <v>0</v>
      </c>
      <c r="S1205" s="796">
        <f>SUM(S1200)</f>
        <v>500000</v>
      </c>
      <c r="T1205" s="84"/>
      <c r="AB1205" s="84">
        <f t="shared" si="221"/>
        <v>0</v>
      </c>
    </row>
    <row r="1206" spans="1:28" x14ac:dyDescent="0.25">
      <c r="A1206" s="84"/>
      <c r="B1206" s="84"/>
      <c r="C1206" s="84"/>
      <c r="D1206" s="84"/>
      <c r="E1206" s="791"/>
      <c r="F1206" s="817" t="s">
        <v>247</v>
      </c>
      <c r="G1206" s="793" t="s">
        <v>4745</v>
      </c>
      <c r="H1206" s="794">
        <f>H1201</f>
        <v>0</v>
      </c>
      <c r="I1206" s="794">
        <f>I1201</f>
        <v>0</v>
      </c>
      <c r="J1206" s="795">
        <f>J1201</f>
        <v>0</v>
      </c>
      <c r="K1206" s="794">
        <f>K1201</f>
        <v>0</v>
      </c>
      <c r="L1206" s="796">
        <f>L1201</f>
        <v>10000000</v>
      </c>
      <c r="M1206" s="796">
        <f t="shared" ref="M1206:S1206" si="227">M1201</f>
        <v>0</v>
      </c>
      <c r="N1206" s="797">
        <f t="shared" si="227"/>
        <v>0</v>
      </c>
      <c r="O1206" s="796">
        <f t="shared" si="227"/>
        <v>10000000</v>
      </c>
      <c r="P1206" s="796">
        <f t="shared" si="227"/>
        <v>10000000</v>
      </c>
      <c r="Q1206" s="796">
        <f t="shared" si="227"/>
        <v>0</v>
      </c>
      <c r="R1206" s="797">
        <f t="shared" si="227"/>
        <v>0</v>
      </c>
      <c r="S1206" s="796">
        <f t="shared" si="227"/>
        <v>10000000</v>
      </c>
      <c r="T1206" s="84"/>
      <c r="AB1206" s="84">
        <f t="shared" si="221"/>
        <v>0</v>
      </c>
    </row>
    <row r="1207" spans="1:28" ht="15.75" thickBot="1" x14ac:dyDescent="0.3">
      <c r="A1207" s="84"/>
      <c r="B1207" s="84"/>
      <c r="C1207" s="84"/>
      <c r="D1207" s="84"/>
      <c r="E1207" s="791"/>
      <c r="F1207" s="792">
        <v>13</v>
      </c>
      <c r="G1207" s="793" t="s">
        <v>5047</v>
      </c>
      <c r="H1207" s="794">
        <f>H1202</f>
        <v>0</v>
      </c>
      <c r="I1207" s="794">
        <f>I1202</f>
        <v>0</v>
      </c>
      <c r="J1207" s="795"/>
      <c r="K1207" s="794">
        <f>K1202</f>
        <v>0</v>
      </c>
      <c r="L1207" s="796">
        <f>L1202</f>
        <v>1000000</v>
      </c>
      <c r="M1207" s="796">
        <f>M1202</f>
        <v>0</v>
      </c>
      <c r="N1207" s="797">
        <f>M1207/L1207</f>
        <v>0</v>
      </c>
      <c r="O1207" s="796">
        <f>O1202</f>
        <v>1000000</v>
      </c>
      <c r="P1207" s="796">
        <f>P1202</f>
        <v>1000000</v>
      </c>
      <c r="Q1207" s="796">
        <f>Q1202</f>
        <v>0</v>
      </c>
      <c r="R1207" s="797">
        <f>R1202</f>
        <v>0</v>
      </c>
      <c r="S1207" s="796">
        <f>S1202</f>
        <v>1000000</v>
      </c>
      <c r="T1207" s="84"/>
      <c r="AB1207" s="84">
        <f t="shared" si="221"/>
        <v>0</v>
      </c>
    </row>
    <row r="1208" spans="1:28" ht="15.75" collapsed="1" thickBot="1" x14ac:dyDescent="0.3">
      <c r="G1208" s="798" t="s">
        <v>5122</v>
      </c>
      <c r="H1208" s="799">
        <f>SUM(H1205:H1207)</f>
        <v>500000</v>
      </c>
      <c r="I1208" s="799">
        <f>SUM(I1205:I1207)</f>
        <v>0</v>
      </c>
      <c r="J1208" s="800">
        <f>I1208/H1208</f>
        <v>0</v>
      </c>
      <c r="K1208" s="799">
        <f>SUM(K1205:K1207)</f>
        <v>500000</v>
      </c>
      <c r="L1208" s="801">
        <f>SUM(L1205:L1207)</f>
        <v>11000000</v>
      </c>
      <c r="M1208" s="801">
        <f>SUM(M1205:M1207)</f>
        <v>0</v>
      </c>
      <c r="N1208" s="802">
        <f>M1208/L1208</f>
        <v>0</v>
      </c>
      <c r="O1208" s="801">
        <f>L1208-M1208</f>
        <v>11000000</v>
      </c>
      <c r="P1208" s="801">
        <f>L1208+H1208</f>
        <v>11500000</v>
      </c>
      <c r="Q1208" s="801">
        <f>M1208+I1208</f>
        <v>0</v>
      </c>
      <c r="R1208" s="802">
        <f>Q1208/P1208</f>
        <v>0</v>
      </c>
      <c r="S1208" s="801">
        <f>P1208-Q1208</f>
        <v>11500000</v>
      </c>
      <c r="AB1208" s="84">
        <f t="shared" si="221"/>
        <v>0</v>
      </c>
    </row>
    <row r="1209" spans="1:28" x14ac:dyDescent="0.25">
      <c r="G1209" s="811"/>
      <c r="H1209" s="812"/>
      <c r="I1209" s="812"/>
      <c r="J1209" s="813"/>
      <c r="K1209" s="812"/>
      <c r="L1209" s="814"/>
      <c r="M1209" s="814"/>
      <c r="N1209" s="815"/>
      <c r="O1209" s="814"/>
      <c r="P1209" s="814"/>
      <c r="Q1209" s="814"/>
      <c r="R1209" s="815"/>
      <c r="S1209" s="814"/>
      <c r="AB1209" s="84">
        <f t="shared" si="221"/>
        <v>0</v>
      </c>
    </row>
    <row r="1210" spans="1:28" x14ac:dyDescent="0.25">
      <c r="E1210" s="784"/>
      <c r="F1210" s="785"/>
      <c r="G1210" s="821" t="s">
        <v>4166</v>
      </c>
      <c r="H1210" s="822"/>
      <c r="I1210" s="822"/>
      <c r="J1210" s="823"/>
      <c r="K1210" s="822"/>
      <c r="L1210" s="824"/>
      <c r="M1210" s="824"/>
      <c r="N1210" s="825"/>
      <c r="O1210" s="824"/>
      <c r="P1210" s="824"/>
      <c r="Q1210" s="824"/>
      <c r="R1210" s="825"/>
      <c r="S1210" s="880"/>
      <c r="AB1210" s="84">
        <f t="shared" si="221"/>
        <v>0</v>
      </c>
    </row>
    <row r="1211" spans="1:28" x14ac:dyDescent="0.25">
      <c r="E1211" s="791"/>
      <c r="F1211" s="792" t="s">
        <v>235</v>
      </c>
      <c r="G1211" s="793" t="s">
        <v>236</v>
      </c>
      <c r="H1211" s="794">
        <f>H1170+H1125+H1205+H1159+H1136+H1182</f>
        <v>17698000</v>
      </c>
      <c r="I1211" s="794">
        <f>I1170+I1125+I1205+I1159+I1136+I1182</f>
        <v>13246576.109999999</v>
      </c>
      <c r="J1211" s="795">
        <v>0</v>
      </c>
      <c r="K1211" s="794">
        <f>H1211-I1211</f>
        <v>4451423.8900000006</v>
      </c>
      <c r="L1211" s="796">
        <v>0</v>
      </c>
      <c r="M1211" s="796">
        <v>0</v>
      </c>
      <c r="N1211" s="797">
        <v>0</v>
      </c>
      <c r="O1211" s="796">
        <v>0</v>
      </c>
      <c r="P1211" s="796">
        <f>H1211+L1211</f>
        <v>17698000</v>
      </c>
      <c r="Q1211" s="796">
        <f>I1211+M1211</f>
        <v>13246576.109999999</v>
      </c>
      <c r="R1211" s="797">
        <f>Q1211/P1211</f>
        <v>0.74847870437337549</v>
      </c>
      <c r="S1211" s="796">
        <f>P1211-Q1211</f>
        <v>4451423.8900000006</v>
      </c>
      <c r="AB1211" s="84">
        <f t="shared" si="221"/>
        <v>0</v>
      </c>
    </row>
    <row r="1212" spans="1:28" x14ac:dyDescent="0.25">
      <c r="E1212" s="791"/>
      <c r="F1212" s="817" t="s">
        <v>247</v>
      </c>
      <c r="G1212" s="793" t="s">
        <v>4745</v>
      </c>
      <c r="H1212" s="794">
        <v>0</v>
      </c>
      <c r="I1212" s="794">
        <v>0</v>
      </c>
      <c r="J1212" s="795"/>
      <c r="K1212" s="794">
        <v>0</v>
      </c>
      <c r="L1212" s="796">
        <f>L1148+L1206+L1183+L1137+L1171</f>
        <v>17500000</v>
      </c>
      <c r="M1212" s="796">
        <f>M1148+M1206+M1183</f>
        <v>3642290</v>
      </c>
      <c r="N1212" s="797">
        <f>M1212/L1212</f>
        <v>0.20813085714285715</v>
      </c>
      <c r="O1212" s="796">
        <f>L1212-M1212</f>
        <v>13857710</v>
      </c>
      <c r="P1212" s="796">
        <f>L1212</f>
        <v>17500000</v>
      </c>
      <c r="Q1212" s="796">
        <f>M1212</f>
        <v>3642290</v>
      </c>
      <c r="R1212" s="797">
        <f>Q1212/P1212</f>
        <v>0.20813085714285715</v>
      </c>
      <c r="S1212" s="796">
        <f>P1212-Q1212</f>
        <v>13857710</v>
      </c>
      <c r="AB1212" s="84">
        <f t="shared" si="221"/>
        <v>0</v>
      </c>
    </row>
    <row r="1213" spans="1:28" x14ac:dyDescent="0.25">
      <c r="E1213" s="791"/>
      <c r="F1213" s="817" t="s">
        <v>245</v>
      </c>
      <c r="G1213" s="793" t="s">
        <v>246</v>
      </c>
      <c r="H1213" s="794">
        <v>0</v>
      </c>
      <c r="I1213" s="794">
        <v>0</v>
      </c>
      <c r="J1213" s="795"/>
      <c r="K1213" s="794">
        <v>0</v>
      </c>
      <c r="L1213" s="796">
        <f>L1194</f>
        <v>7900000</v>
      </c>
      <c r="M1213" s="796">
        <f>M1194</f>
        <v>5499097.21</v>
      </c>
      <c r="N1213" s="797">
        <f>M1213/L1213</f>
        <v>0.69608825443037969</v>
      </c>
      <c r="O1213" s="796">
        <f>O1194</f>
        <v>2400902.79</v>
      </c>
      <c r="P1213" s="796">
        <f>H1213+L1213</f>
        <v>7900000</v>
      </c>
      <c r="Q1213" s="796">
        <f>I1213+M1213</f>
        <v>5499097.21</v>
      </c>
      <c r="R1213" s="797">
        <f>Q1213/P1213</f>
        <v>0.69608825443037969</v>
      </c>
      <c r="S1213" s="796">
        <f>P1213-Q1213</f>
        <v>2400902.79</v>
      </c>
      <c r="AB1213" s="84">
        <f t="shared" si="221"/>
        <v>0</v>
      </c>
    </row>
    <row r="1214" spans="1:28" ht="15.75" thickBot="1" x14ac:dyDescent="0.3">
      <c r="E1214" s="791"/>
      <c r="F1214" s="792">
        <v>13</v>
      </c>
      <c r="G1214" s="793" t="s">
        <v>5047</v>
      </c>
      <c r="H1214" s="794">
        <v>0</v>
      </c>
      <c r="I1214" s="794">
        <v>0</v>
      </c>
      <c r="J1214" s="795"/>
      <c r="K1214" s="794">
        <v>0</v>
      </c>
      <c r="L1214" s="796">
        <v>1000000</v>
      </c>
      <c r="M1214" s="796">
        <f>M1149</f>
        <v>650000</v>
      </c>
      <c r="N1214" s="797">
        <f>M1214/L1214</f>
        <v>0.65</v>
      </c>
      <c r="O1214" s="796">
        <f>L1214-M1214</f>
        <v>350000</v>
      </c>
      <c r="P1214" s="796">
        <f>L1214</f>
        <v>1000000</v>
      </c>
      <c r="Q1214" s="796">
        <f>M1214</f>
        <v>650000</v>
      </c>
      <c r="R1214" s="797">
        <f>Q1214/P1214</f>
        <v>0.65</v>
      </c>
      <c r="S1214" s="796">
        <f>P1214-Q1214</f>
        <v>350000</v>
      </c>
      <c r="AB1214" s="84">
        <f t="shared" si="221"/>
        <v>0</v>
      </c>
    </row>
    <row r="1215" spans="1:28" ht="15.75" thickBot="1" x14ac:dyDescent="0.3">
      <c r="G1215" s="798" t="s">
        <v>4167</v>
      </c>
      <c r="H1215" s="799">
        <f>SUM(H1211:H1214)</f>
        <v>17698000</v>
      </c>
      <c r="I1215" s="799">
        <f>SUM(I1211:I1214)</f>
        <v>13246576.109999999</v>
      </c>
      <c r="J1215" s="800">
        <f>I1215/H1215</f>
        <v>0.74847870437337549</v>
      </c>
      <c r="K1215" s="799">
        <f>SUM(K1211:K1214)</f>
        <v>4451423.8900000006</v>
      </c>
      <c r="L1215" s="801">
        <f>SUM(L1211:L1214)</f>
        <v>26400000</v>
      </c>
      <c r="M1215" s="801">
        <f>SUM(M1211:M1214)</f>
        <v>9791387.2100000009</v>
      </c>
      <c r="N1215" s="802">
        <f>M1215/L1215</f>
        <v>0.37088587916666671</v>
      </c>
      <c r="O1215" s="801">
        <f>SUM(O1211:O1214)</f>
        <v>16608612.789999999</v>
      </c>
      <c r="P1215" s="801">
        <f>SUM(P1211:P1214)</f>
        <v>44098000</v>
      </c>
      <c r="Q1215" s="801">
        <f>SUM(Q1211:Q1214)</f>
        <v>23037963.32</v>
      </c>
      <c r="R1215" s="802">
        <f>Q1215/P1215</f>
        <v>0.52242648918318291</v>
      </c>
      <c r="S1215" s="801">
        <f>SUM(S1211:S1214)</f>
        <v>21060036.68</v>
      </c>
      <c r="AB1215" s="84">
        <f t="shared" si="221"/>
        <v>0</v>
      </c>
    </row>
    <row r="1216" spans="1:28" x14ac:dyDescent="0.25">
      <c r="A1216" s="84"/>
      <c r="B1216" s="84"/>
      <c r="C1216" s="84"/>
      <c r="D1216" s="84"/>
      <c r="G1216" s="811"/>
      <c r="H1216" s="812"/>
      <c r="I1216" s="812"/>
      <c r="J1216" s="813"/>
      <c r="K1216" s="812"/>
      <c r="L1216" s="814"/>
      <c r="M1216" s="814"/>
      <c r="N1216" s="815"/>
      <c r="O1216" s="814"/>
      <c r="P1216" s="814"/>
      <c r="Q1216" s="814"/>
      <c r="R1216" s="815"/>
      <c r="S1216" s="814"/>
      <c r="T1216" s="84"/>
      <c r="AB1216" s="84">
        <f t="shared" si="221"/>
        <v>0</v>
      </c>
    </row>
    <row r="1217" spans="1:31" s="972" customFormat="1" x14ac:dyDescent="0.25">
      <c r="A1217" s="767"/>
      <c r="B1217" s="768"/>
      <c r="C1217" s="974" t="s">
        <v>3594</v>
      </c>
      <c r="E1217" s="1016"/>
      <c r="G1217" s="762" t="s">
        <v>5411</v>
      </c>
      <c r="H1217" s="1008"/>
      <c r="I1217" s="1008"/>
      <c r="J1217" s="1009"/>
      <c r="K1217" s="1008"/>
      <c r="L1217" s="643"/>
      <c r="M1217" s="643"/>
      <c r="N1217" s="1010"/>
      <c r="O1217" s="643"/>
      <c r="P1217" s="643"/>
      <c r="Q1217" s="643"/>
      <c r="R1217" s="1010"/>
      <c r="S1217" s="643"/>
      <c r="T1217" s="971"/>
      <c r="V1217" s="973"/>
      <c r="W1217" s="973"/>
      <c r="X1217" s="833"/>
      <c r="Y1217" s="834"/>
      <c r="Z1217" s="830"/>
      <c r="AA1217" s="831"/>
      <c r="AB1217" s="972">
        <f t="shared" si="221"/>
        <v>0</v>
      </c>
    </row>
    <row r="1218" spans="1:31" ht="28.5" x14ac:dyDescent="0.25">
      <c r="C1218" s="761" t="s">
        <v>4078</v>
      </c>
      <c r="D1218" s="770"/>
      <c r="G1218" s="869" t="s">
        <v>4075</v>
      </c>
      <c r="AB1218" s="84">
        <f t="shared" si="221"/>
        <v>0</v>
      </c>
    </row>
    <row r="1219" spans="1:31" s="972" customFormat="1" x14ac:dyDescent="0.25">
      <c r="A1219" s="767"/>
      <c r="B1219" s="768"/>
      <c r="C1219" s="974"/>
      <c r="D1219" s="1011" t="s">
        <v>3998</v>
      </c>
      <c r="E1219" s="1012"/>
      <c r="F1219" s="1013"/>
      <c r="G1219" s="1014" t="s">
        <v>205</v>
      </c>
      <c r="H1219" s="1008"/>
      <c r="I1219" s="1008"/>
      <c r="J1219" s="1009"/>
      <c r="K1219" s="1008"/>
      <c r="L1219" s="643"/>
      <c r="M1219" s="643"/>
      <c r="N1219" s="1010"/>
      <c r="O1219" s="643"/>
      <c r="P1219" s="643"/>
      <c r="Q1219" s="643"/>
      <c r="R1219" s="1010"/>
      <c r="S1219" s="643"/>
      <c r="T1219" s="971"/>
      <c r="V1219" s="973"/>
      <c r="W1219" s="973"/>
      <c r="X1219" s="833"/>
      <c r="Y1219" s="834"/>
      <c r="Z1219" s="830"/>
      <c r="AA1219" s="831"/>
      <c r="AB1219" s="972">
        <f t="shared" si="221"/>
        <v>0</v>
      </c>
    </row>
    <row r="1220" spans="1:31" ht="30.75" thickBot="1" x14ac:dyDescent="0.3">
      <c r="A1220" s="84"/>
      <c r="B1220" s="84"/>
      <c r="C1220" s="84"/>
      <c r="D1220" s="84"/>
      <c r="E1220" s="760" t="s">
        <v>5247</v>
      </c>
      <c r="F1220" s="782">
        <v>464</v>
      </c>
      <c r="G1220" s="783" t="s">
        <v>3813</v>
      </c>
      <c r="H1220" s="763">
        <v>11000000</v>
      </c>
      <c r="I1220" s="763">
        <f>11447819.37+435537.84</f>
        <v>11883357.209999999</v>
      </c>
      <c r="J1220" s="764">
        <f>I1220/H1220</f>
        <v>1.0803052009090908</v>
      </c>
      <c r="K1220" s="763">
        <f>H1220-I1220</f>
        <v>-883357.20999999903</v>
      </c>
      <c r="L1220" s="765">
        <v>0</v>
      </c>
      <c r="M1220" s="765">
        <v>0</v>
      </c>
      <c r="O1220" s="765">
        <f>L1220-M1220</f>
        <v>0</v>
      </c>
      <c r="P1220" s="765">
        <f>L1220+H1220</f>
        <v>11000000</v>
      </c>
      <c r="Q1220" s="765">
        <f>M1220+I1220</f>
        <v>11883357.209999999</v>
      </c>
      <c r="R1220" s="766">
        <f>Q1220/P1220</f>
        <v>1.0803052009090908</v>
      </c>
      <c r="S1220" s="765">
        <f>P1220-Q1220</f>
        <v>-883357.20999999903</v>
      </c>
      <c r="T1220" s="84"/>
      <c r="Z1220" s="830">
        <f>H1220-X1220+Y1220</f>
        <v>11000000</v>
      </c>
      <c r="AA1220" s="831">
        <v>14000000</v>
      </c>
      <c r="AB1220" s="84">
        <f t="shared" ref="AB1220:AB1283" si="228">Z1220-AA1220</f>
        <v>-3000000</v>
      </c>
      <c r="AE1220" s="84">
        <f>H1220-AA1220</f>
        <v>-3000000</v>
      </c>
    </row>
    <row r="1221" spans="1:31" x14ac:dyDescent="0.25">
      <c r="A1221" s="84"/>
      <c r="B1221" s="84"/>
      <c r="C1221" s="84"/>
      <c r="D1221" s="84"/>
      <c r="E1221" s="784"/>
      <c r="F1221" s="785"/>
      <c r="G1221" s="786" t="s">
        <v>4980</v>
      </c>
      <c r="H1221" s="787"/>
      <c r="I1221" s="787"/>
      <c r="J1221" s="788"/>
      <c r="K1221" s="787"/>
      <c r="L1221" s="789"/>
      <c r="M1221" s="789"/>
      <c r="N1221" s="790"/>
      <c r="O1221" s="789"/>
      <c r="P1221" s="789"/>
      <c r="Q1221" s="789"/>
      <c r="R1221" s="790"/>
      <c r="S1221" s="877"/>
      <c r="T1221" s="84"/>
      <c r="AB1221" s="84">
        <f t="shared" si="228"/>
        <v>0</v>
      </c>
    </row>
    <row r="1222" spans="1:31" ht="15.75" thickBot="1" x14ac:dyDescent="0.3">
      <c r="A1222" s="84"/>
      <c r="B1222" s="84"/>
      <c r="C1222" s="84"/>
      <c r="D1222" s="84"/>
      <c r="E1222" s="791"/>
      <c r="F1222" s="792" t="s">
        <v>235</v>
      </c>
      <c r="G1222" s="793" t="s">
        <v>236</v>
      </c>
      <c r="H1222" s="794">
        <f>SUM(H1220:H1220)</f>
        <v>11000000</v>
      </c>
      <c r="I1222" s="794">
        <f>SUM(I1220:I1220)</f>
        <v>11883357.209999999</v>
      </c>
      <c r="J1222" s="795">
        <f>SUM(J1220:J1220)</f>
        <v>1.0803052009090908</v>
      </c>
      <c r="K1222" s="794">
        <f>SUM(K1220:K1220)</f>
        <v>-883357.20999999903</v>
      </c>
      <c r="L1222" s="796">
        <v>0</v>
      </c>
      <c r="M1222" s="796">
        <v>0</v>
      </c>
      <c r="N1222" s="797"/>
      <c r="O1222" s="796">
        <f>L1222-M1222</f>
        <v>0</v>
      </c>
      <c r="P1222" s="796">
        <f>L1222+H1222</f>
        <v>11000000</v>
      </c>
      <c r="Q1222" s="796">
        <f>M1222+I1222</f>
        <v>11883357.209999999</v>
      </c>
      <c r="R1222" s="797">
        <f>Q1222/P1222</f>
        <v>1.0803052009090908</v>
      </c>
      <c r="S1222" s="796">
        <f>P1222-Q1222</f>
        <v>-883357.20999999903</v>
      </c>
      <c r="T1222" s="84"/>
      <c r="AB1222" s="84">
        <f t="shared" si="228"/>
        <v>0</v>
      </c>
    </row>
    <row r="1223" spans="1:31" ht="15.75" thickBot="1" x14ac:dyDescent="0.3">
      <c r="A1223" s="84"/>
      <c r="B1223" s="84"/>
      <c r="C1223" s="84"/>
      <c r="D1223" s="84"/>
      <c r="G1223" s="798" t="s">
        <v>4979</v>
      </c>
      <c r="H1223" s="799">
        <f>SUM(H1222:H1222)</f>
        <v>11000000</v>
      </c>
      <c r="I1223" s="799">
        <f>SUM(I1222:I1222)</f>
        <v>11883357.209999999</v>
      </c>
      <c r="J1223" s="800">
        <f>SUM(J1222:J1222)</f>
        <v>1.0803052009090908</v>
      </c>
      <c r="K1223" s="799">
        <f>SUM(K1222:K1222)</f>
        <v>-883357.20999999903</v>
      </c>
      <c r="L1223" s="801">
        <v>0</v>
      </c>
      <c r="M1223" s="801">
        <v>0</v>
      </c>
      <c r="N1223" s="802"/>
      <c r="O1223" s="801">
        <f>L1223-M1223</f>
        <v>0</v>
      </c>
      <c r="P1223" s="801">
        <f>L1223+H1223</f>
        <v>11000000</v>
      </c>
      <c r="Q1223" s="801">
        <f>M1223+I1223</f>
        <v>11883357.209999999</v>
      </c>
      <c r="R1223" s="802">
        <f>Q1223/P1223</f>
        <v>1.0803052009090908</v>
      </c>
      <c r="S1223" s="801">
        <f>P1223-Q1223</f>
        <v>-883357.20999999903</v>
      </c>
      <c r="T1223" s="84"/>
      <c r="AB1223" s="84">
        <f t="shared" si="228"/>
        <v>0</v>
      </c>
    </row>
    <row r="1224" spans="1:31" ht="28.5" collapsed="1" x14ac:dyDescent="0.25">
      <c r="A1224" s="84"/>
      <c r="B1224" s="84"/>
      <c r="C1224" s="84"/>
      <c r="D1224" s="84"/>
      <c r="E1224" s="784"/>
      <c r="F1224" s="785"/>
      <c r="G1224" s="803" t="s">
        <v>4789</v>
      </c>
      <c r="H1224" s="804"/>
      <c r="I1224" s="805"/>
      <c r="J1224" s="806"/>
      <c r="K1224" s="805"/>
      <c r="L1224" s="807"/>
      <c r="M1224" s="808"/>
      <c r="N1224" s="809"/>
      <c r="O1224" s="808"/>
      <c r="P1224" s="808"/>
      <c r="Q1224" s="808"/>
      <c r="R1224" s="809"/>
      <c r="S1224" s="878"/>
      <c r="T1224" s="84"/>
      <c r="AB1224" s="84">
        <f t="shared" si="228"/>
        <v>0</v>
      </c>
    </row>
    <row r="1225" spans="1:31" ht="15.75" thickBot="1" x14ac:dyDescent="0.3">
      <c r="A1225" s="84"/>
      <c r="B1225" s="84"/>
      <c r="C1225" s="84"/>
      <c r="D1225" s="84"/>
      <c r="E1225" s="791"/>
      <c r="F1225" s="792" t="s">
        <v>235</v>
      </c>
      <c r="G1225" s="793" t="s">
        <v>236</v>
      </c>
      <c r="H1225" s="794">
        <f>SUM(H1220:H1220)</f>
        <v>11000000</v>
      </c>
      <c r="I1225" s="794">
        <f>SUM(I1220:I1220)</f>
        <v>11883357.209999999</v>
      </c>
      <c r="J1225" s="795">
        <f>SUM(J1220:J1220)</f>
        <v>1.0803052009090908</v>
      </c>
      <c r="K1225" s="794">
        <f>SUM(K1220:K1220)</f>
        <v>-883357.20999999903</v>
      </c>
      <c r="L1225" s="796">
        <v>0</v>
      </c>
      <c r="M1225" s="796">
        <v>0</v>
      </c>
      <c r="N1225" s="797"/>
      <c r="O1225" s="796">
        <f>L1225-M1225</f>
        <v>0</v>
      </c>
      <c r="P1225" s="796">
        <f>L1225+H1225</f>
        <v>11000000</v>
      </c>
      <c r="Q1225" s="796">
        <f>M1225+I1225</f>
        <v>11883357.209999999</v>
      </c>
      <c r="R1225" s="797">
        <f>Q1225/P1225</f>
        <v>1.0803052009090908</v>
      </c>
      <c r="S1225" s="796">
        <f>P1225-Q1225</f>
        <v>-883357.20999999903</v>
      </c>
      <c r="T1225" s="84"/>
      <c r="AB1225" s="84">
        <f t="shared" si="228"/>
        <v>0</v>
      </c>
    </row>
    <row r="1226" spans="1:31" ht="15.75" collapsed="1" thickBot="1" x14ac:dyDescent="0.3">
      <c r="G1226" s="798" t="s">
        <v>4790</v>
      </c>
      <c r="H1226" s="799">
        <f>SUM(H1225:H1225)</f>
        <v>11000000</v>
      </c>
      <c r="I1226" s="799">
        <f>SUM(I1225:I1225)</f>
        <v>11883357.209999999</v>
      </c>
      <c r="J1226" s="800">
        <f>SUM(J1225:J1225)</f>
        <v>1.0803052009090908</v>
      </c>
      <c r="K1226" s="799">
        <f>SUM(K1225:K1225)</f>
        <v>-883357.20999999903</v>
      </c>
      <c r="L1226" s="801">
        <v>0</v>
      </c>
      <c r="M1226" s="801">
        <v>0</v>
      </c>
      <c r="N1226" s="802"/>
      <c r="O1226" s="801">
        <f>L1226-M1226</f>
        <v>0</v>
      </c>
      <c r="P1226" s="801">
        <f>L1226+H1226</f>
        <v>11000000</v>
      </c>
      <c r="Q1226" s="801">
        <f>M1226+I1226</f>
        <v>11883357.209999999</v>
      </c>
      <c r="R1226" s="802">
        <f>Q1226/P1226</f>
        <v>1.0803052009090908</v>
      </c>
      <c r="S1226" s="801">
        <f>P1226-Q1226</f>
        <v>-883357.20999999903</v>
      </c>
      <c r="AB1226" s="84">
        <f t="shared" si="228"/>
        <v>0</v>
      </c>
    </row>
    <row r="1227" spans="1:31" x14ac:dyDescent="0.25">
      <c r="G1227" s="811"/>
      <c r="H1227" s="812"/>
      <c r="I1227" s="812"/>
      <c r="J1227" s="813"/>
      <c r="K1227" s="812"/>
      <c r="L1227" s="814"/>
      <c r="M1227" s="814"/>
      <c r="N1227" s="815"/>
      <c r="O1227" s="814"/>
      <c r="P1227" s="814"/>
      <c r="Q1227" s="814"/>
      <c r="R1227" s="815"/>
      <c r="S1227" s="814"/>
      <c r="AB1227" s="84">
        <f t="shared" si="228"/>
        <v>0</v>
      </c>
    </row>
    <row r="1228" spans="1:31" x14ac:dyDescent="0.25">
      <c r="C1228" s="761" t="s">
        <v>4977</v>
      </c>
      <c r="D1228" s="770"/>
      <c r="G1228" s="869" t="s">
        <v>4978</v>
      </c>
      <c r="AB1228" s="84">
        <f t="shared" si="228"/>
        <v>0</v>
      </c>
    </row>
    <row r="1229" spans="1:31" s="972" customFormat="1" x14ac:dyDescent="0.25">
      <c r="A1229" s="767"/>
      <c r="B1229" s="768"/>
      <c r="C1229" s="974"/>
      <c r="D1229" s="1011" t="s">
        <v>3984</v>
      </c>
      <c r="E1229" s="1012"/>
      <c r="F1229" s="1013"/>
      <c r="G1229" s="1014" t="s">
        <v>205</v>
      </c>
      <c r="H1229" s="1008"/>
      <c r="I1229" s="1008"/>
      <c r="J1229" s="1009"/>
      <c r="K1229" s="1008"/>
      <c r="L1229" s="643"/>
      <c r="M1229" s="643"/>
      <c r="N1229" s="1010"/>
      <c r="O1229" s="643"/>
      <c r="P1229" s="643"/>
      <c r="Q1229" s="643"/>
      <c r="R1229" s="1010"/>
      <c r="S1229" s="643"/>
      <c r="T1229" s="971"/>
      <c r="V1229" s="973"/>
      <c r="W1229" s="973"/>
      <c r="X1229" s="833"/>
      <c r="Y1229" s="834"/>
      <c r="Z1229" s="830"/>
      <c r="AA1229" s="831"/>
      <c r="AB1229" s="972">
        <f t="shared" si="228"/>
        <v>0</v>
      </c>
    </row>
    <row r="1230" spans="1:31" ht="15.75" thickBot="1" x14ac:dyDescent="0.3">
      <c r="A1230" s="84"/>
      <c r="B1230" s="84"/>
      <c r="C1230" s="84"/>
      <c r="D1230" s="84"/>
      <c r="E1230" s="760" t="s">
        <v>5248</v>
      </c>
      <c r="F1230" s="782">
        <v>424</v>
      </c>
      <c r="G1230" s="783" t="s">
        <v>3785</v>
      </c>
      <c r="H1230" s="763">
        <v>450000</v>
      </c>
      <c r="I1230" s="763">
        <f>451265.85+63291.15</f>
        <v>514557</v>
      </c>
      <c r="J1230" s="764">
        <f>I1230/H1230</f>
        <v>1.1434599999999999</v>
      </c>
      <c r="K1230" s="763">
        <f>H1230-I1230</f>
        <v>-64557</v>
      </c>
      <c r="L1230" s="765">
        <v>0</v>
      </c>
      <c r="M1230" s="765">
        <v>0</v>
      </c>
      <c r="O1230" s="765">
        <f>L1230-M1230</f>
        <v>0</v>
      </c>
      <c r="P1230" s="765">
        <f>L1230+H1230</f>
        <v>450000</v>
      </c>
      <c r="Q1230" s="765">
        <f>M1230+I1230</f>
        <v>514557</v>
      </c>
      <c r="R1230" s="766">
        <f>Q1230/P1230</f>
        <v>1.1434599999999999</v>
      </c>
      <c r="S1230" s="765">
        <f>P1230-Q1230</f>
        <v>-64557</v>
      </c>
      <c r="T1230" s="84"/>
      <c r="Z1230" s="830">
        <f>H1230-X1230+Y1230</f>
        <v>450000</v>
      </c>
      <c r="AA1230" s="831">
        <v>650000</v>
      </c>
      <c r="AB1230" s="84">
        <f t="shared" si="228"/>
        <v>-200000</v>
      </c>
      <c r="AE1230" s="84">
        <f>H1230-AA1230</f>
        <v>-200000</v>
      </c>
    </row>
    <row r="1231" spans="1:31" x14ac:dyDescent="0.25">
      <c r="A1231" s="84"/>
      <c r="B1231" s="84"/>
      <c r="C1231" s="84"/>
      <c r="D1231" s="84"/>
      <c r="E1231" s="784"/>
      <c r="F1231" s="785"/>
      <c r="G1231" s="786" t="s">
        <v>5250</v>
      </c>
      <c r="H1231" s="787"/>
      <c r="I1231" s="787"/>
      <c r="J1231" s="788"/>
      <c r="K1231" s="787"/>
      <c r="L1231" s="789"/>
      <c r="M1231" s="789"/>
      <c r="N1231" s="790"/>
      <c r="O1231" s="789"/>
      <c r="P1231" s="789"/>
      <c r="Q1231" s="789"/>
      <c r="R1231" s="790"/>
      <c r="S1231" s="877"/>
      <c r="T1231" s="84"/>
      <c r="AB1231" s="84">
        <f t="shared" si="228"/>
        <v>0</v>
      </c>
    </row>
    <row r="1232" spans="1:31" ht="15.75" thickBot="1" x14ac:dyDescent="0.3">
      <c r="A1232" s="84"/>
      <c r="B1232" s="84"/>
      <c r="C1232" s="84"/>
      <c r="D1232" s="84"/>
      <c r="E1232" s="791"/>
      <c r="F1232" s="792" t="s">
        <v>235</v>
      </c>
      <c r="G1232" s="793" t="s">
        <v>236</v>
      </c>
      <c r="H1232" s="794">
        <f>SUM(H1230:H1230)</f>
        <v>450000</v>
      </c>
      <c r="I1232" s="794">
        <f>SUM(I1230:I1230)</f>
        <v>514557</v>
      </c>
      <c r="J1232" s="795">
        <f>SUM(J1230:J1230)</f>
        <v>1.1434599999999999</v>
      </c>
      <c r="K1232" s="794">
        <f>SUM(K1230:K1230)</f>
        <v>-64557</v>
      </c>
      <c r="L1232" s="796">
        <v>0</v>
      </c>
      <c r="M1232" s="796">
        <v>0</v>
      </c>
      <c r="N1232" s="797"/>
      <c r="O1232" s="796">
        <f>L1232-M1232</f>
        <v>0</v>
      </c>
      <c r="P1232" s="796">
        <f>L1232+H1232</f>
        <v>450000</v>
      </c>
      <c r="Q1232" s="796">
        <f>M1232+I1232</f>
        <v>514557</v>
      </c>
      <c r="R1232" s="797">
        <f>Q1232/P1232</f>
        <v>1.1434599999999999</v>
      </c>
      <c r="S1232" s="796">
        <f>P1232-Q1232</f>
        <v>-64557</v>
      </c>
      <c r="T1232" s="84"/>
      <c r="AB1232" s="84">
        <f t="shared" si="228"/>
        <v>0</v>
      </c>
    </row>
    <row r="1233" spans="1:31" ht="15.75" thickBot="1" x14ac:dyDescent="0.3">
      <c r="A1233" s="84"/>
      <c r="B1233" s="84"/>
      <c r="C1233" s="84"/>
      <c r="D1233" s="84"/>
      <c r="G1233" s="798" t="s">
        <v>5251</v>
      </c>
      <c r="H1233" s="799">
        <f>SUM(H1232:H1232)</f>
        <v>450000</v>
      </c>
      <c r="I1233" s="799">
        <f>SUM(I1232:I1232)</f>
        <v>514557</v>
      </c>
      <c r="J1233" s="800">
        <f>SUM(J1232:J1232)</f>
        <v>1.1434599999999999</v>
      </c>
      <c r="K1233" s="799">
        <f>SUM(K1232:K1232)</f>
        <v>-64557</v>
      </c>
      <c r="L1233" s="801">
        <v>0</v>
      </c>
      <c r="M1233" s="801">
        <v>0</v>
      </c>
      <c r="N1233" s="802"/>
      <c r="O1233" s="801">
        <f>L1233-M1233</f>
        <v>0</v>
      </c>
      <c r="P1233" s="801">
        <f>L1233+H1233</f>
        <v>450000</v>
      </c>
      <c r="Q1233" s="801">
        <f>M1233+I1233</f>
        <v>514557</v>
      </c>
      <c r="R1233" s="802">
        <f>Q1233/P1233</f>
        <v>1.1434599999999999</v>
      </c>
      <c r="S1233" s="801">
        <f>P1233-Q1233</f>
        <v>-64557</v>
      </c>
      <c r="T1233" s="84"/>
      <c r="AB1233" s="84">
        <f t="shared" si="228"/>
        <v>0</v>
      </c>
    </row>
    <row r="1234" spans="1:31" ht="28.5" collapsed="1" x14ac:dyDescent="0.25">
      <c r="A1234" s="84"/>
      <c r="B1234" s="84"/>
      <c r="C1234" s="84"/>
      <c r="D1234" s="84"/>
      <c r="E1234" s="784"/>
      <c r="F1234" s="785"/>
      <c r="G1234" s="803" t="s">
        <v>5139</v>
      </c>
      <c r="H1234" s="804"/>
      <c r="I1234" s="805"/>
      <c r="J1234" s="806"/>
      <c r="K1234" s="805"/>
      <c r="L1234" s="807"/>
      <c r="M1234" s="808"/>
      <c r="N1234" s="809"/>
      <c r="O1234" s="808"/>
      <c r="P1234" s="808"/>
      <c r="Q1234" s="808"/>
      <c r="R1234" s="809"/>
      <c r="S1234" s="878"/>
      <c r="T1234" s="84"/>
      <c r="AB1234" s="84">
        <f t="shared" si="228"/>
        <v>0</v>
      </c>
    </row>
    <row r="1235" spans="1:31" ht="15.75" thickBot="1" x14ac:dyDescent="0.3">
      <c r="A1235" s="84"/>
      <c r="B1235" s="84"/>
      <c r="C1235" s="84"/>
      <c r="D1235" s="84"/>
      <c r="E1235" s="791"/>
      <c r="F1235" s="792" t="s">
        <v>235</v>
      </c>
      <c r="G1235" s="793" t="s">
        <v>236</v>
      </c>
      <c r="H1235" s="794">
        <f>SUM(H1230:H1230)</f>
        <v>450000</v>
      </c>
      <c r="I1235" s="794">
        <f>SUM(I1230:I1230)</f>
        <v>514557</v>
      </c>
      <c r="J1235" s="795">
        <f>SUM(J1230:J1230)</f>
        <v>1.1434599999999999</v>
      </c>
      <c r="K1235" s="794">
        <f>SUM(K1230:K1230)</f>
        <v>-64557</v>
      </c>
      <c r="L1235" s="796">
        <v>0</v>
      </c>
      <c r="M1235" s="796">
        <v>0</v>
      </c>
      <c r="N1235" s="797"/>
      <c r="O1235" s="796">
        <f>L1235-M1235</f>
        <v>0</v>
      </c>
      <c r="P1235" s="796">
        <f>L1235+H1235</f>
        <v>450000</v>
      </c>
      <c r="Q1235" s="796">
        <f>M1235+I1235</f>
        <v>514557</v>
      </c>
      <c r="R1235" s="797">
        <f>Q1235/P1235</f>
        <v>1.1434599999999999</v>
      </c>
      <c r="S1235" s="796">
        <f>P1235-Q1235</f>
        <v>-64557</v>
      </c>
      <c r="T1235" s="84"/>
      <c r="AB1235" s="84">
        <f t="shared" si="228"/>
        <v>0</v>
      </c>
    </row>
    <row r="1236" spans="1:31" ht="15.75" collapsed="1" thickBot="1" x14ac:dyDescent="0.3">
      <c r="G1236" s="798" t="s">
        <v>5140</v>
      </c>
      <c r="H1236" s="799">
        <f>SUM(H1235:H1235)</f>
        <v>450000</v>
      </c>
      <c r="I1236" s="799">
        <f>SUM(I1235:I1235)</f>
        <v>514557</v>
      </c>
      <c r="J1236" s="800">
        <f>SUM(J1235:J1235)</f>
        <v>1.1434599999999999</v>
      </c>
      <c r="K1236" s="799">
        <f>SUM(K1235:K1235)</f>
        <v>-64557</v>
      </c>
      <c r="L1236" s="801">
        <v>0</v>
      </c>
      <c r="M1236" s="801">
        <v>0</v>
      </c>
      <c r="N1236" s="802"/>
      <c r="O1236" s="801">
        <f>L1236-M1236</f>
        <v>0</v>
      </c>
      <c r="P1236" s="801">
        <f>L1236+H1236</f>
        <v>450000</v>
      </c>
      <c r="Q1236" s="801">
        <f>M1236+I1236</f>
        <v>514557</v>
      </c>
      <c r="R1236" s="802">
        <f>Q1236/P1236</f>
        <v>1.1434599999999999</v>
      </c>
      <c r="S1236" s="801">
        <f>P1236-Q1236</f>
        <v>-64557</v>
      </c>
      <c r="AB1236" s="84">
        <f t="shared" si="228"/>
        <v>0</v>
      </c>
    </row>
    <row r="1237" spans="1:31" x14ac:dyDescent="0.25">
      <c r="G1237" s="811"/>
      <c r="H1237" s="812"/>
      <c r="I1237" s="812"/>
      <c r="J1237" s="813"/>
      <c r="K1237" s="812"/>
      <c r="L1237" s="814"/>
      <c r="M1237" s="814"/>
      <c r="N1237" s="815"/>
      <c r="O1237" s="814"/>
      <c r="P1237" s="814"/>
      <c r="Q1237" s="814"/>
      <c r="R1237" s="815"/>
      <c r="S1237" s="814"/>
      <c r="AB1237" s="84">
        <f t="shared" si="228"/>
        <v>0</v>
      </c>
    </row>
    <row r="1238" spans="1:31" ht="28.5" hidden="1" x14ac:dyDescent="0.25">
      <c r="C1238" s="761" t="s">
        <v>4538</v>
      </c>
      <c r="D1238" s="770"/>
      <c r="G1238" s="869" t="s">
        <v>5141</v>
      </c>
      <c r="AB1238" s="84">
        <f t="shared" si="228"/>
        <v>0</v>
      </c>
    </row>
    <row r="1239" spans="1:31" s="972" customFormat="1" hidden="1" x14ac:dyDescent="0.25">
      <c r="A1239" s="767"/>
      <c r="B1239" s="768"/>
      <c r="C1239" s="974"/>
      <c r="D1239" s="1011" t="s">
        <v>3976</v>
      </c>
      <c r="E1239" s="1012"/>
      <c r="F1239" s="1013"/>
      <c r="G1239" s="1014" t="s">
        <v>205</v>
      </c>
      <c r="H1239" s="1008"/>
      <c r="I1239" s="1008"/>
      <c r="J1239" s="1009"/>
      <c r="K1239" s="1008"/>
      <c r="L1239" s="643"/>
      <c r="M1239" s="643"/>
      <c r="N1239" s="1010"/>
      <c r="O1239" s="643"/>
      <c r="P1239" s="643"/>
      <c r="Q1239" s="643"/>
      <c r="R1239" s="1010"/>
      <c r="S1239" s="643"/>
      <c r="T1239" s="971"/>
      <c r="V1239" s="973"/>
      <c r="W1239" s="973"/>
      <c r="X1239" s="833"/>
      <c r="Y1239" s="834"/>
      <c r="Z1239" s="830"/>
      <c r="AA1239" s="831"/>
      <c r="AB1239" s="972">
        <f t="shared" si="228"/>
        <v>0</v>
      </c>
    </row>
    <row r="1240" spans="1:31" ht="15.75" hidden="1" thickBot="1" x14ac:dyDescent="0.3">
      <c r="A1240" s="84"/>
      <c r="B1240" s="84"/>
      <c r="C1240" s="84"/>
      <c r="D1240" s="84"/>
      <c r="E1240" s="760" t="s">
        <v>5252</v>
      </c>
      <c r="F1240" s="782">
        <v>512</v>
      </c>
      <c r="G1240" s="783" t="s">
        <v>5142</v>
      </c>
      <c r="H1240" s="763">
        <v>0</v>
      </c>
      <c r="I1240" s="763">
        <v>0</v>
      </c>
      <c r="K1240" s="763">
        <f>H1240-I1240</f>
        <v>0</v>
      </c>
      <c r="L1240" s="765">
        <v>0</v>
      </c>
      <c r="M1240" s="765">
        <v>0</v>
      </c>
      <c r="O1240" s="765">
        <f>L1240-M1240</f>
        <v>0</v>
      </c>
      <c r="P1240" s="765">
        <f>L1240+H1240</f>
        <v>0</v>
      </c>
      <c r="Q1240" s="765">
        <f>M1240+I1240</f>
        <v>0</v>
      </c>
      <c r="R1240" s="766" t="e">
        <f>Q1240/P1240</f>
        <v>#DIV/0!</v>
      </c>
      <c r="S1240" s="765">
        <f>P1240-Q1240</f>
        <v>0</v>
      </c>
      <c r="T1240" s="84"/>
      <c r="Z1240" s="830">
        <f>H1240-X1240+Y1240</f>
        <v>0</v>
      </c>
      <c r="AA1240" s="831">
        <v>0</v>
      </c>
      <c r="AB1240" s="84">
        <f t="shared" si="228"/>
        <v>0</v>
      </c>
      <c r="AE1240" s="84">
        <f>H1240-AA1240</f>
        <v>0</v>
      </c>
    </row>
    <row r="1241" spans="1:31" hidden="1" x14ac:dyDescent="0.25">
      <c r="A1241" s="84"/>
      <c r="B1241" s="84"/>
      <c r="C1241" s="84"/>
      <c r="D1241" s="84"/>
      <c r="E1241" s="784"/>
      <c r="F1241" s="785"/>
      <c r="G1241" s="786" t="s">
        <v>5143</v>
      </c>
      <c r="H1241" s="787"/>
      <c r="I1241" s="787"/>
      <c r="J1241" s="788"/>
      <c r="K1241" s="787"/>
      <c r="L1241" s="789"/>
      <c r="M1241" s="789"/>
      <c r="N1241" s="790"/>
      <c r="O1241" s="789"/>
      <c r="P1241" s="789"/>
      <c r="Q1241" s="789"/>
      <c r="R1241" s="790"/>
      <c r="S1241" s="877"/>
      <c r="T1241" s="84"/>
      <c r="AB1241" s="84">
        <f t="shared" si="228"/>
        <v>0</v>
      </c>
    </row>
    <row r="1242" spans="1:31" ht="15.75" hidden="1" thickBot="1" x14ac:dyDescent="0.3">
      <c r="A1242" s="84"/>
      <c r="B1242" s="84"/>
      <c r="C1242" s="84"/>
      <c r="D1242" s="84"/>
      <c r="E1242" s="791"/>
      <c r="F1242" s="792" t="s">
        <v>235</v>
      </c>
      <c r="G1242" s="793" t="s">
        <v>236</v>
      </c>
      <c r="H1242" s="794">
        <f>SUM(H1240:H1240)</f>
        <v>0</v>
      </c>
      <c r="I1242" s="794">
        <f>SUM(I1240:I1240)</f>
        <v>0</v>
      </c>
      <c r="J1242" s="795"/>
      <c r="K1242" s="794">
        <f>SUM(K1240:K1240)</f>
        <v>0</v>
      </c>
      <c r="L1242" s="796">
        <v>0</v>
      </c>
      <c r="M1242" s="796">
        <v>0</v>
      </c>
      <c r="N1242" s="797"/>
      <c r="O1242" s="796">
        <f>L1242-M1242</f>
        <v>0</v>
      </c>
      <c r="P1242" s="796">
        <f>L1242+H1242</f>
        <v>0</v>
      </c>
      <c r="Q1242" s="796">
        <f>M1242+I1242</f>
        <v>0</v>
      </c>
      <c r="R1242" s="797" t="e">
        <f>Q1242/P1242</f>
        <v>#DIV/0!</v>
      </c>
      <c r="S1242" s="796">
        <f>P1242-Q1242</f>
        <v>0</v>
      </c>
      <c r="T1242" s="84"/>
      <c r="AB1242" s="84">
        <f t="shared" si="228"/>
        <v>0</v>
      </c>
    </row>
    <row r="1243" spans="1:31" ht="15.75" hidden="1" thickBot="1" x14ac:dyDescent="0.3">
      <c r="A1243" s="84"/>
      <c r="B1243" s="84"/>
      <c r="C1243" s="84"/>
      <c r="D1243" s="84"/>
      <c r="G1243" s="798" t="s">
        <v>5144</v>
      </c>
      <c r="H1243" s="799">
        <f>SUM(H1242:H1242)</f>
        <v>0</v>
      </c>
      <c r="I1243" s="799">
        <f>SUM(I1242:I1242)</f>
        <v>0</v>
      </c>
      <c r="J1243" s="800"/>
      <c r="K1243" s="799">
        <f>SUM(K1242:K1242)</f>
        <v>0</v>
      </c>
      <c r="L1243" s="801">
        <v>0</v>
      </c>
      <c r="M1243" s="801">
        <v>0</v>
      </c>
      <c r="N1243" s="802"/>
      <c r="O1243" s="801">
        <f>L1243-M1243</f>
        <v>0</v>
      </c>
      <c r="P1243" s="801">
        <f>L1243+H1243</f>
        <v>0</v>
      </c>
      <c r="Q1243" s="801">
        <f>M1243+I1243</f>
        <v>0</v>
      </c>
      <c r="R1243" s="802" t="e">
        <f>Q1243/P1243</f>
        <v>#DIV/0!</v>
      </c>
      <c r="S1243" s="801">
        <f>P1243-Q1243</f>
        <v>0</v>
      </c>
      <c r="T1243" s="84"/>
      <c r="AB1243" s="84">
        <f t="shared" si="228"/>
        <v>0</v>
      </c>
    </row>
    <row r="1244" spans="1:31" hidden="1" collapsed="1" x14ac:dyDescent="0.25">
      <c r="A1244" s="84"/>
      <c r="B1244" s="84"/>
      <c r="C1244" s="84"/>
      <c r="D1244" s="84"/>
      <c r="E1244" s="784"/>
      <c r="F1244" s="785"/>
      <c r="G1244" s="803" t="s">
        <v>5145</v>
      </c>
      <c r="H1244" s="804"/>
      <c r="I1244" s="805"/>
      <c r="J1244" s="806"/>
      <c r="K1244" s="805"/>
      <c r="L1244" s="807"/>
      <c r="M1244" s="808"/>
      <c r="N1244" s="809"/>
      <c r="O1244" s="808"/>
      <c r="P1244" s="808"/>
      <c r="Q1244" s="808"/>
      <c r="R1244" s="809"/>
      <c r="S1244" s="878"/>
      <c r="T1244" s="84"/>
      <c r="AB1244" s="84">
        <f t="shared" si="228"/>
        <v>0</v>
      </c>
    </row>
    <row r="1245" spans="1:31" ht="15.75" hidden="1" thickBot="1" x14ac:dyDescent="0.3">
      <c r="A1245" s="84"/>
      <c r="B1245" s="84"/>
      <c r="C1245" s="84"/>
      <c r="D1245" s="84"/>
      <c r="E1245" s="791"/>
      <c r="F1245" s="792" t="s">
        <v>235</v>
      </c>
      <c r="G1245" s="793" t="s">
        <v>236</v>
      </c>
      <c r="H1245" s="794">
        <f>SUM(H1240:H1240)</f>
        <v>0</v>
      </c>
      <c r="I1245" s="794">
        <f>SUM(I1240:I1240)</f>
        <v>0</v>
      </c>
      <c r="J1245" s="795"/>
      <c r="K1245" s="794">
        <f>SUM(K1240:K1240)</f>
        <v>0</v>
      </c>
      <c r="L1245" s="796">
        <v>0</v>
      </c>
      <c r="M1245" s="796">
        <v>0</v>
      </c>
      <c r="N1245" s="797"/>
      <c r="O1245" s="796">
        <f>L1245-M1245</f>
        <v>0</v>
      </c>
      <c r="P1245" s="796">
        <f>L1245+H1245</f>
        <v>0</v>
      </c>
      <c r="Q1245" s="796">
        <f>M1245+I1245</f>
        <v>0</v>
      </c>
      <c r="R1245" s="797" t="e">
        <f>Q1245/P1245</f>
        <v>#DIV/0!</v>
      </c>
      <c r="S1245" s="796">
        <f>P1245-Q1245</f>
        <v>0</v>
      </c>
      <c r="T1245" s="84"/>
      <c r="AB1245" s="84">
        <f t="shared" si="228"/>
        <v>0</v>
      </c>
    </row>
    <row r="1246" spans="1:31" ht="15.75" hidden="1" collapsed="1" thickBot="1" x14ac:dyDescent="0.3">
      <c r="G1246" s="798" t="s">
        <v>5146</v>
      </c>
      <c r="H1246" s="799">
        <f>SUM(H1245:H1245)</f>
        <v>0</v>
      </c>
      <c r="I1246" s="799">
        <f>SUM(I1245:I1245)</f>
        <v>0</v>
      </c>
      <c r="J1246" s="800"/>
      <c r="K1246" s="799">
        <f>SUM(K1245:K1245)</f>
        <v>0</v>
      </c>
      <c r="L1246" s="801">
        <v>0</v>
      </c>
      <c r="M1246" s="801">
        <v>0</v>
      </c>
      <c r="N1246" s="802"/>
      <c r="O1246" s="801">
        <f>L1246-M1246</f>
        <v>0</v>
      </c>
      <c r="P1246" s="801">
        <f>L1246+H1246</f>
        <v>0</v>
      </c>
      <c r="Q1246" s="801">
        <f>M1246+I1246</f>
        <v>0</v>
      </c>
      <c r="R1246" s="802" t="e">
        <f>Q1246/P1246</f>
        <v>#DIV/0!</v>
      </c>
      <c r="S1246" s="801">
        <f>P1246-Q1246</f>
        <v>0</v>
      </c>
      <c r="AB1246" s="84">
        <f t="shared" si="228"/>
        <v>0</v>
      </c>
    </row>
    <row r="1247" spans="1:31" hidden="1" x14ac:dyDescent="0.25">
      <c r="G1247" s="811"/>
      <c r="H1247" s="812"/>
      <c r="I1247" s="812"/>
      <c r="J1247" s="813"/>
      <c r="K1247" s="812"/>
      <c r="L1247" s="814"/>
      <c r="M1247" s="814"/>
      <c r="N1247" s="815"/>
      <c r="O1247" s="814"/>
      <c r="P1247" s="814"/>
      <c r="Q1247" s="814"/>
      <c r="R1247" s="815"/>
      <c r="S1247" s="814"/>
      <c r="AB1247" s="84">
        <f t="shared" si="228"/>
        <v>0</v>
      </c>
    </row>
    <row r="1248" spans="1:31" hidden="1" x14ac:dyDescent="0.25">
      <c r="E1248" s="784"/>
      <c r="F1248" s="785"/>
      <c r="G1248" s="821" t="s">
        <v>4791</v>
      </c>
      <c r="H1248" s="822"/>
      <c r="I1248" s="822"/>
      <c r="J1248" s="823"/>
      <c r="K1248" s="822"/>
      <c r="L1248" s="824"/>
      <c r="M1248" s="824"/>
      <c r="N1248" s="825"/>
      <c r="O1248" s="824"/>
      <c r="P1248" s="824"/>
      <c r="Q1248" s="824"/>
      <c r="R1248" s="825"/>
      <c r="S1248" s="880"/>
      <c r="AB1248" s="84">
        <f t="shared" si="228"/>
        <v>0</v>
      </c>
    </row>
    <row r="1249" spans="1:31" ht="15.75" hidden="1" thickBot="1" x14ac:dyDescent="0.3">
      <c r="A1249" s="84"/>
      <c r="B1249" s="84"/>
      <c r="E1249" s="791"/>
      <c r="F1249" s="792" t="s">
        <v>235</v>
      </c>
      <c r="G1249" s="793" t="s">
        <v>236</v>
      </c>
      <c r="H1249" s="794">
        <f>H1235+H1225+H1245</f>
        <v>11450000</v>
      </c>
      <c r="I1249" s="794">
        <f>I1235+I1225+I1245</f>
        <v>12397914.209999999</v>
      </c>
      <c r="J1249" s="795">
        <f>I1249/H1249</f>
        <v>1.0827872672489083</v>
      </c>
      <c r="K1249" s="794">
        <f>H1249-I1249</f>
        <v>-947914.20999999903</v>
      </c>
      <c r="L1249" s="796">
        <v>0</v>
      </c>
      <c r="M1249" s="796">
        <v>0</v>
      </c>
      <c r="N1249" s="797"/>
      <c r="O1249" s="796">
        <f>L1249-M1249</f>
        <v>0</v>
      </c>
      <c r="P1249" s="796">
        <f>L1249+H1249</f>
        <v>11450000</v>
      </c>
      <c r="Q1249" s="796">
        <f>M1249+I1249</f>
        <v>12397914.209999999</v>
      </c>
      <c r="R1249" s="797">
        <f>Q1249/P1249</f>
        <v>1.0827872672489083</v>
      </c>
      <c r="S1249" s="796">
        <f>P1249-Q1249</f>
        <v>-947914.20999999903</v>
      </c>
      <c r="AB1249" s="84">
        <f t="shared" si="228"/>
        <v>0</v>
      </c>
    </row>
    <row r="1250" spans="1:31" ht="15.75" hidden="1" thickBot="1" x14ac:dyDescent="0.3">
      <c r="A1250" s="84"/>
      <c r="B1250" s="84"/>
      <c r="G1250" s="798" t="s">
        <v>4792</v>
      </c>
      <c r="H1250" s="799">
        <f>SUM(H1249)</f>
        <v>11450000</v>
      </c>
      <c r="I1250" s="799">
        <f>SUM(I1249)</f>
        <v>12397914.209999999</v>
      </c>
      <c r="J1250" s="800">
        <f>SUM(J1249)</f>
        <v>1.0827872672489083</v>
      </c>
      <c r="K1250" s="799">
        <f>SUM(K1249)</f>
        <v>-947914.20999999903</v>
      </c>
      <c r="L1250" s="801">
        <v>0</v>
      </c>
      <c r="M1250" s="801">
        <v>0</v>
      </c>
      <c r="N1250" s="802"/>
      <c r="O1250" s="801">
        <f>L1250-M1250</f>
        <v>0</v>
      </c>
      <c r="P1250" s="801">
        <f>L1250+H1250</f>
        <v>11450000</v>
      </c>
      <c r="Q1250" s="801">
        <f>M1250+I1250</f>
        <v>12397914.209999999</v>
      </c>
      <c r="R1250" s="802">
        <f>Q1250/P1250</f>
        <v>1.0827872672489083</v>
      </c>
      <c r="S1250" s="801">
        <f>P1250-Q1250</f>
        <v>-947914.20999999903</v>
      </c>
      <c r="AB1250" s="84">
        <f t="shared" si="228"/>
        <v>0</v>
      </c>
    </row>
    <row r="1251" spans="1:31" hidden="1" x14ac:dyDescent="0.25">
      <c r="A1251" s="84"/>
      <c r="B1251" s="84"/>
      <c r="G1251" s="811"/>
      <c r="H1251" s="812"/>
      <c r="I1251" s="812"/>
      <c r="J1251" s="813"/>
      <c r="K1251" s="812"/>
      <c r="L1251" s="814"/>
      <c r="M1251" s="814"/>
      <c r="N1251" s="815"/>
      <c r="O1251" s="814"/>
      <c r="P1251" s="814"/>
      <c r="Q1251" s="814"/>
      <c r="R1251" s="815"/>
      <c r="S1251" s="814"/>
      <c r="AB1251" s="84">
        <f t="shared" si="228"/>
        <v>0</v>
      </c>
    </row>
    <row r="1252" spans="1:31" ht="28.5" x14ac:dyDescent="0.25">
      <c r="A1252" s="84"/>
      <c r="B1252" s="84"/>
      <c r="C1252" s="761" t="s">
        <v>3597</v>
      </c>
      <c r="G1252" s="869" t="s">
        <v>5159</v>
      </c>
      <c r="H1252" s="812"/>
      <c r="I1252" s="812"/>
      <c r="J1252" s="813"/>
      <c r="K1252" s="812"/>
      <c r="L1252" s="814"/>
      <c r="M1252" s="814"/>
      <c r="N1252" s="815"/>
      <c r="O1252" s="814"/>
      <c r="P1252" s="814"/>
      <c r="Q1252" s="814"/>
      <c r="R1252" s="815"/>
      <c r="S1252" s="814"/>
      <c r="AB1252" s="84">
        <f t="shared" si="228"/>
        <v>0</v>
      </c>
    </row>
    <row r="1253" spans="1:31" ht="33.75" customHeight="1" x14ac:dyDescent="0.25">
      <c r="A1253" s="84"/>
      <c r="B1253" s="84"/>
      <c r="C1253" s="761" t="s">
        <v>5162</v>
      </c>
      <c r="D1253" s="770"/>
      <c r="G1253" s="995" t="s">
        <v>5161</v>
      </c>
      <c r="AB1253" s="84">
        <f t="shared" si="228"/>
        <v>0</v>
      </c>
    </row>
    <row r="1254" spans="1:31" ht="30" customHeight="1" x14ac:dyDescent="0.25">
      <c r="A1254" s="84"/>
      <c r="B1254" s="84"/>
      <c r="C1254" s="761"/>
      <c r="D1254" s="778">
        <v>860</v>
      </c>
      <c r="E1254" s="779"/>
      <c r="F1254" s="778"/>
      <c r="G1254" s="780" t="s">
        <v>212</v>
      </c>
      <c r="H1254" s="794"/>
      <c r="I1254" s="794"/>
      <c r="J1254" s="795"/>
      <c r="K1254" s="794"/>
      <c r="L1254" s="796"/>
      <c r="M1254" s="796"/>
      <c r="N1254" s="797"/>
      <c r="O1254" s="796"/>
      <c r="P1254" s="796"/>
      <c r="Q1254" s="796"/>
      <c r="R1254" s="797"/>
      <c r="S1254" s="796"/>
      <c r="AB1254" s="84">
        <f t="shared" si="228"/>
        <v>0</v>
      </c>
    </row>
    <row r="1255" spans="1:31" ht="15.75" thickBot="1" x14ac:dyDescent="0.3">
      <c r="A1255" s="84"/>
      <c r="B1255" s="84"/>
      <c r="E1255" s="760" t="s">
        <v>5249</v>
      </c>
      <c r="F1255" s="782">
        <v>481</v>
      </c>
      <c r="G1255" s="876" t="s">
        <v>4136</v>
      </c>
      <c r="H1255" s="763">
        <v>1330000</v>
      </c>
      <c r="I1255" s="763">
        <f>1100000+30000</f>
        <v>1130000</v>
      </c>
      <c r="J1255" s="764">
        <f>I1255/H1255</f>
        <v>0.84962406015037595</v>
      </c>
      <c r="K1255" s="763">
        <f>H1255-I1255</f>
        <v>200000</v>
      </c>
      <c r="L1255" s="765">
        <v>0</v>
      </c>
      <c r="M1255" s="765">
        <v>0</v>
      </c>
      <c r="O1255" s="765">
        <f>L1255-M1255</f>
        <v>0</v>
      </c>
      <c r="P1255" s="765">
        <f>L1255+H1255</f>
        <v>1330000</v>
      </c>
      <c r="Q1255" s="765">
        <f>M1255+I1255</f>
        <v>1130000</v>
      </c>
      <c r="R1255" s="766">
        <f>Q1255/P1255</f>
        <v>0.84962406015037595</v>
      </c>
      <c r="S1255" s="765">
        <f>P1255-Q1255</f>
        <v>200000</v>
      </c>
      <c r="Z1255" s="830">
        <f>H1255-X1255+Y1255</f>
        <v>1330000</v>
      </c>
      <c r="AA1255" s="831">
        <v>1382000</v>
      </c>
      <c r="AB1255" s="84">
        <f t="shared" si="228"/>
        <v>-52000</v>
      </c>
      <c r="AE1255" s="84">
        <f>H1255-AA1255</f>
        <v>-52000</v>
      </c>
    </row>
    <row r="1256" spans="1:31" x14ac:dyDescent="0.25">
      <c r="A1256" s="84"/>
      <c r="B1256" s="84"/>
      <c r="E1256" s="784"/>
      <c r="F1256" s="785"/>
      <c r="G1256" s="786" t="s">
        <v>5163</v>
      </c>
      <c r="H1256" s="787"/>
      <c r="I1256" s="787"/>
      <c r="J1256" s="788"/>
      <c r="K1256" s="787"/>
      <c r="L1256" s="789"/>
      <c r="M1256" s="789"/>
      <c r="N1256" s="790"/>
      <c r="O1256" s="789"/>
      <c r="P1256" s="789"/>
      <c r="Q1256" s="789"/>
      <c r="R1256" s="790"/>
      <c r="S1256" s="877"/>
      <c r="AB1256" s="84">
        <f t="shared" si="228"/>
        <v>0</v>
      </c>
    </row>
    <row r="1257" spans="1:31" ht="15.75" thickBot="1" x14ac:dyDescent="0.3">
      <c r="A1257" s="84"/>
      <c r="B1257" s="84"/>
      <c r="E1257" s="791"/>
      <c r="F1257" s="792" t="s">
        <v>235</v>
      </c>
      <c r="G1257" s="793" t="s">
        <v>236</v>
      </c>
      <c r="H1257" s="794">
        <f t="shared" ref="H1257:M1257" si="229">SUM(H1255)</f>
        <v>1330000</v>
      </c>
      <c r="I1257" s="794">
        <f t="shared" si="229"/>
        <v>1130000</v>
      </c>
      <c r="J1257" s="795">
        <f t="shared" si="229"/>
        <v>0.84962406015037595</v>
      </c>
      <c r="K1257" s="794">
        <f t="shared" si="229"/>
        <v>200000</v>
      </c>
      <c r="L1257" s="796">
        <f t="shared" si="229"/>
        <v>0</v>
      </c>
      <c r="M1257" s="796">
        <f t="shared" si="229"/>
        <v>0</v>
      </c>
      <c r="N1257" s="797"/>
      <c r="O1257" s="796">
        <f>SUM(O1255)</f>
        <v>0</v>
      </c>
      <c r="P1257" s="796">
        <f>SUM(P1255)</f>
        <v>1330000</v>
      </c>
      <c r="Q1257" s="796">
        <f>SUM(Q1255)</f>
        <v>1130000</v>
      </c>
      <c r="R1257" s="797">
        <f>SUM(R1255)</f>
        <v>0.84962406015037595</v>
      </c>
      <c r="S1257" s="796">
        <f>SUM(S1255)</f>
        <v>200000</v>
      </c>
      <c r="AB1257" s="84">
        <f t="shared" si="228"/>
        <v>0</v>
      </c>
    </row>
    <row r="1258" spans="1:31" ht="15.75" thickBot="1" x14ac:dyDescent="0.3">
      <c r="A1258" s="84"/>
      <c r="B1258" s="84"/>
      <c r="G1258" s="798" t="s">
        <v>5164</v>
      </c>
      <c r="H1258" s="799">
        <f t="shared" ref="H1258:M1258" si="230">SUM(H1257)</f>
        <v>1330000</v>
      </c>
      <c r="I1258" s="799">
        <f t="shared" si="230"/>
        <v>1130000</v>
      </c>
      <c r="J1258" s="800">
        <f t="shared" si="230"/>
        <v>0.84962406015037595</v>
      </c>
      <c r="K1258" s="799">
        <f t="shared" si="230"/>
        <v>200000</v>
      </c>
      <c r="L1258" s="801">
        <f t="shared" si="230"/>
        <v>0</v>
      </c>
      <c r="M1258" s="801">
        <f t="shared" si="230"/>
        <v>0</v>
      </c>
      <c r="N1258" s="802"/>
      <c r="O1258" s="801">
        <f>SUM(O1257)</f>
        <v>0</v>
      </c>
      <c r="P1258" s="801">
        <f>SUM(P1257)</f>
        <v>1330000</v>
      </c>
      <c r="Q1258" s="801">
        <f>SUM(Q1257)</f>
        <v>1130000</v>
      </c>
      <c r="R1258" s="802">
        <f>SUM(R1257)</f>
        <v>0.84962406015037595</v>
      </c>
      <c r="S1258" s="801">
        <f>SUM(S1257)</f>
        <v>200000</v>
      </c>
      <c r="AB1258" s="84">
        <f t="shared" si="228"/>
        <v>0</v>
      </c>
    </row>
    <row r="1259" spans="1:31" ht="28.5" collapsed="1" x14ac:dyDescent="0.25">
      <c r="A1259" s="84"/>
      <c r="B1259" s="84"/>
      <c r="E1259" s="784"/>
      <c r="F1259" s="785"/>
      <c r="G1259" s="803" t="s">
        <v>5165</v>
      </c>
      <c r="H1259" s="804"/>
      <c r="I1259" s="805"/>
      <c r="J1259" s="806"/>
      <c r="K1259" s="805"/>
      <c r="L1259" s="807"/>
      <c r="M1259" s="808"/>
      <c r="N1259" s="809"/>
      <c r="O1259" s="808"/>
      <c r="P1259" s="808"/>
      <c r="Q1259" s="808"/>
      <c r="R1259" s="809"/>
      <c r="S1259" s="878"/>
      <c r="AB1259" s="84">
        <f t="shared" si="228"/>
        <v>0</v>
      </c>
    </row>
    <row r="1260" spans="1:31" ht="15.75" thickBot="1" x14ac:dyDescent="0.3">
      <c r="A1260" s="84"/>
      <c r="B1260" s="84"/>
      <c r="E1260" s="791"/>
      <c r="F1260" s="792" t="s">
        <v>235</v>
      </c>
      <c r="G1260" s="793" t="s">
        <v>236</v>
      </c>
      <c r="H1260" s="794">
        <f t="shared" ref="H1260:M1260" si="231">SUM(H1257)</f>
        <v>1330000</v>
      </c>
      <c r="I1260" s="794">
        <f t="shared" si="231"/>
        <v>1130000</v>
      </c>
      <c r="J1260" s="795">
        <f t="shared" si="231"/>
        <v>0.84962406015037595</v>
      </c>
      <c r="K1260" s="794">
        <f t="shared" si="231"/>
        <v>200000</v>
      </c>
      <c r="L1260" s="796">
        <f t="shared" si="231"/>
        <v>0</v>
      </c>
      <c r="M1260" s="796">
        <f t="shared" si="231"/>
        <v>0</v>
      </c>
      <c r="N1260" s="797"/>
      <c r="O1260" s="796">
        <f>SUM(O1257)</f>
        <v>0</v>
      </c>
      <c r="P1260" s="796">
        <f>SUM(P1257)</f>
        <v>1330000</v>
      </c>
      <c r="Q1260" s="796">
        <f>SUM(Q1257)</f>
        <v>1130000</v>
      </c>
      <c r="R1260" s="797">
        <f>SUM(R1257)</f>
        <v>0.84962406015037595</v>
      </c>
      <c r="S1260" s="796">
        <f>SUM(S1257)</f>
        <v>200000</v>
      </c>
      <c r="AB1260" s="84">
        <f t="shared" si="228"/>
        <v>0</v>
      </c>
    </row>
    <row r="1261" spans="1:31" ht="15.75" collapsed="1" thickBot="1" x14ac:dyDescent="0.3">
      <c r="A1261" s="84"/>
      <c r="B1261" s="84"/>
      <c r="G1261" s="798" t="s">
        <v>5166</v>
      </c>
      <c r="H1261" s="799">
        <f t="shared" ref="H1261:M1261" si="232">SUM(H1260)</f>
        <v>1330000</v>
      </c>
      <c r="I1261" s="799">
        <f t="shared" si="232"/>
        <v>1130000</v>
      </c>
      <c r="J1261" s="800">
        <f t="shared" si="232"/>
        <v>0.84962406015037595</v>
      </c>
      <c r="K1261" s="799">
        <f t="shared" si="232"/>
        <v>200000</v>
      </c>
      <c r="L1261" s="801">
        <f t="shared" si="232"/>
        <v>0</v>
      </c>
      <c r="M1261" s="801">
        <f t="shared" si="232"/>
        <v>0</v>
      </c>
      <c r="N1261" s="802"/>
      <c r="O1261" s="801">
        <f>SUM(O1260)</f>
        <v>0</v>
      </c>
      <c r="P1261" s="801">
        <f>SUM(P1260)</f>
        <v>1330000</v>
      </c>
      <c r="Q1261" s="801">
        <f>SUM(Q1260)</f>
        <v>1130000</v>
      </c>
      <c r="R1261" s="802">
        <f>SUM(R1260)</f>
        <v>0.84962406015037595</v>
      </c>
      <c r="S1261" s="801">
        <f>SUM(S1260)</f>
        <v>200000</v>
      </c>
      <c r="AB1261" s="84">
        <f t="shared" si="228"/>
        <v>0</v>
      </c>
    </row>
    <row r="1262" spans="1:31" x14ac:dyDescent="0.25">
      <c r="A1262" s="84"/>
      <c r="B1262" s="84"/>
      <c r="C1262" s="761"/>
      <c r="G1262" s="869"/>
      <c r="H1262" s="812"/>
      <c r="I1262" s="812"/>
      <c r="J1262" s="813"/>
      <c r="K1262" s="812"/>
      <c r="L1262" s="814"/>
      <c r="M1262" s="814"/>
      <c r="N1262" s="815"/>
      <c r="O1262" s="814"/>
      <c r="P1262" s="814"/>
      <c r="Q1262" s="814"/>
      <c r="R1262" s="815"/>
      <c r="S1262" s="814"/>
      <c r="AB1262" s="84">
        <f t="shared" si="228"/>
        <v>0</v>
      </c>
    </row>
    <row r="1263" spans="1:31" ht="28.5" x14ac:dyDescent="0.25">
      <c r="A1263" s="84"/>
      <c r="B1263" s="84"/>
      <c r="C1263" s="761" t="s">
        <v>4981</v>
      </c>
      <c r="D1263" s="770"/>
      <c r="G1263" s="995" t="s">
        <v>4982</v>
      </c>
      <c r="AB1263" s="84">
        <f t="shared" si="228"/>
        <v>0</v>
      </c>
    </row>
    <row r="1264" spans="1:31" ht="21" customHeight="1" x14ac:dyDescent="0.25">
      <c r="A1264" s="84"/>
      <c r="B1264" s="84"/>
      <c r="C1264" s="761"/>
      <c r="D1264" s="778">
        <v>830</v>
      </c>
      <c r="E1264" s="779"/>
      <c r="F1264" s="778"/>
      <c r="G1264" s="780" t="s">
        <v>209</v>
      </c>
      <c r="H1264" s="794"/>
      <c r="I1264" s="794"/>
      <c r="J1264" s="795"/>
      <c r="K1264" s="794"/>
      <c r="L1264" s="796"/>
      <c r="M1264" s="796"/>
      <c r="N1264" s="797"/>
      <c r="O1264" s="796"/>
      <c r="P1264" s="796"/>
      <c r="Q1264" s="796"/>
      <c r="R1264" s="797"/>
      <c r="S1264" s="796"/>
      <c r="AB1264" s="84">
        <f t="shared" si="228"/>
        <v>0</v>
      </c>
    </row>
    <row r="1265" spans="1:31" ht="15.75" thickBot="1" x14ac:dyDescent="0.3">
      <c r="E1265" s="760" t="s">
        <v>5252</v>
      </c>
      <c r="F1265" s="782">
        <v>423</v>
      </c>
      <c r="G1265" s="876" t="s">
        <v>3783</v>
      </c>
      <c r="H1265" s="763">
        <v>1350000</v>
      </c>
      <c r="I1265" s="763">
        <v>790000</v>
      </c>
      <c r="J1265" s="764">
        <f>I1265/H1265</f>
        <v>0.58518518518518514</v>
      </c>
      <c r="K1265" s="763">
        <f>H1265-I1265</f>
        <v>560000</v>
      </c>
      <c r="L1265" s="765">
        <v>0</v>
      </c>
      <c r="M1265" s="765">
        <v>0</v>
      </c>
      <c r="O1265" s="765">
        <f>L1265-M1265</f>
        <v>0</v>
      </c>
      <c r="P1265" s="765">
        <f>L1265+H1265</f>
        <v>1350000</v>
      </c>
      <c r="Q1265" s="765">
        <f>M1265+I1265</f>
        <v>790000</v>
      </c>
      <c r="R1265" s="766">
        <f>Q1265/P1265</f>
        <v>0.58518518518518514</v>
      </c>
      <c r="S1265" s="765">
        <f>P1265-Q1265</f>
        <v>560000</v>
      </c>
      <c r="Z1265" s="830">
        <f>H1265-X1265+Y1265</f>
        <v>1350000</v>
      </c>
      <c r="AA1265" s="831">
        <v>1580000</v>
      </c>
      <c r="AB1265" s="84">
        <f t="shared" si="228"/>
        <v>-230000</v>
      </c>
      <c r="AE1265" s="84">
        <f>H1265-AA1265</f>
        <v>-230000</v>
      </c>
    </row>
    <row r="1266" spans="1:31" x14ac:dyDescent="0.25">
      <c r="E1266" s="784"/>
      <c r="F1266" s="785"/>
      <c r="G1266" s="786" t="s">
        <v>4983</v>
      </c>
      <c r="H1266" s="787"/>
      <c r="I1266" s="787"/>
      <c r="J1266" s="788"/>
      <c r="K1266" s="787"/>
      <c r="L1266" s="789"/>
      <c r="M1266" s="789"/>
      <c r="N1266" s="790"/>
      <c r="O1266" s="789"/>
      <c r="P1266" s="789"/>
      <c r="Q1266" s="789"/>
      <c r="R1266" s="790"/>
      <c r="S1266" s="877"/>
      <c r="AB1266" s="84">
        <f t="shared" si="228"/>
        <v>0</v>
      </c>
    </row>
    <row r="1267" spans="1:31" ht="15.75" thickBot="1" x14ac:dyDescent="0.3">
      <c r="E1267" s="791"/>
      <c r="F1267" s="792" t="s">
        <v>235</v>
      </c>
      <c r="G1267" s="793" t="s">
        <v>236</v>
      </c>
      <c r="H1267" s="794">
        <f t="shared" ref="H1267:M1267" si="233">SUM(H1265)</f>
        <v>1350000</v>
      </c>
      <c r="I1267" s="794">
        <f t="shared" si="233"/>
        <v>790000</v>
      </c>
      <c r="J1267" s="795">
        <f t="shared" si="233"/>
        <v>0.58518518518518514</v>
      </c>
      <c r="K1267" s="794">
        <f t="shared" si="233"/>
        <v>560000</v>
      </c>
      <c r="L1267" s="796">
        <f t="shared" si="233"/>
        <v>0</v>
      </c>
      <c r="M1267" s="796">
        <f t="shared" si="233"/>
        <v>0</v>
      </c>
      <c r="N1267" s="797"/>
      <c r="O1267" s="796">
        <f>SUM(O1265)</f>
        <v>0</v>
      </c>
      <c r="P1267" s="796">
        <f>SUM(P1265)</f>
        <v>1350000</v>
      </c>
      <c r="Q1267" s="796">
        <f>SUM(Q1265)</f>
        <v>790000</v>
      </c>
      <c r="R1267" s="797">
        <f>SUM(R1265)</f>
        <v>0.58518518518518514</v>
      </c>
      <c r="S1267" s="796">
        <f>SUM(S1265)</f>
        <v>560000</v>
      </c>
      <c r="AB1267" s="84">
        <f t="shared" si="228"/>
        <v>0</v>
      </c>
    </row>
    <row r="1268" spans="1:31" ht="15.75" thickBot="1" x14ac:dyDescent="0.3">
      <c r="G1268" s="798" t="s">
        <v>4986</v>
      </c>
      <c r="H1268" s="799">
        <f t="shared" ref="H1268:M1268" si="234">SUM(H1267)</f>
        <v>1350000</v>
      </c>
      <c r="I1268" s="799">
        <f t="shared" si="234"/>
        <v>790000</v>
      </c>
      <c r="J1268" s="800">
        <f t="shared" si="234"/>
        <v>0.58518518518518514</v>
      </c>
      <c r="K1268" s="799">
        <f t="shared" si="234"/>
        <v>560000</v>
      </c>
      <c r="L1268" s="801">
        <f t="shared" si="234"/>
        <v>0</v>
      </c>
      <c r="M1268" s="801">
        <f t="shared" si="234"/>
        <v>0</v>
      </c>
      <c r="N1268" s="802"/>
      <c r="O1268" s="801">
        <f>SUM(O1267)</f>
        <v>0</v>
      </c>
      <c r="P1268" s="801">
        <f>SUM(P1267)</f>
        <v>1350000</v>
      </c>
      <c r="Q1268" s="801">
        <f>SUM(Q1267)</f>
        <v>790000</v>
      </c>
      <c r="R1268" s="802">
        <f>SUM(R1267)</f>
        <v>0.58518518518518514</v>
      </c>
      <c r="S1268" s="801">
        <f>SUM(S1267)</f>
        <v>560000</v>
      </c>
      <c r="AB1268" s="84">
        <f t="shared" si="228"/>
        <v>0</v>
      </c>
    </row>
    <row r="1269" spans="1:31" ht="28.5" collapsed="1" x14ac:dyDescent="0.25">
      <c r="E1269" s="784"/>
      <c r="F1269" s="785"/>
      <c r="G1269" s="803" t="s">
        <v>4984</v>
      </c>
      <c r="H1269" s="804"/>
      <c r="I1269" s="805"/>
      <c r="J1269" s="806"/>
      <c r="K1269" s="805"/>
      <c r="L1269" s="807"/>
      <c r="M1269" s="808"/>
      <c r="N1269" s="809"/>
      <c r="O1269" s="808"/>
      <c r="P1269" s="808"/>
      <c r="Q1269" s="808"/>
      <c r="R1269" s="809"/>
      <c r="S1269" s="878"/>
      <c r="AB1269" s="84">
        <f t="shared" si="228"/>
        <v>0</v>
      </c>
    </row>
    <row r="1270" spans="1:31" ht="15.75" thickBot="1" x14ac:dyDescent="0.3">
      <c r="E1270" s="791"/>
      <c r="F1270" s="792" t="s">
        <v>235</v>
      </c>
      <c r="G1270" s="793" t="s">
        <v>236</v>
      </c>
      <c r="H1270" s="794">
        <f>H1267</f>
        <v>1350000</v>
      </c>
      <c r="I1270" s="794">
        <f t="shared" ref="I1270:S1270" si="235">I1267</f>
        <v>790000</v>
      </c>
      <c r="J1270" s="795">
        <f t="shared" si="235"/>
        <v>0.58518518518518514</v>
      </c>
      <c r="K1270" s="794">
        <f t="shared" si="235"/>
        <v>560000</v>
      </c>
      <c r="L1270" s="796">
        <f t="shared" si="235"/>
        <v>0</v>
      </c>
      <c r="M1270" s="796">
        <f t="shared" si="235"/>
        <v>0</v>
      </c>
      <c r="N1270" s="797">
        <f t="shared" si="235"/>
        <v>0</v>
      </c>
      <c r="O1270" s="796">
        <f t="shared" si="235"/>
        <v>0</v>
      </c>
      <c r="P1270" s="796">
        <f t="shared" si="235"/>
        <v>1350000</v>
      </c>
      <c r="Q1270" s="796">
        <f t="shared" si="235"/>
        <v>790000</v>
      </c>
      <c r="R1270" s="797">
        <f t="shared" si="235"/>
        <v>0.58518518518518514</v>
      </c>
      <c r="S1270" s="796">
        <f t="shared" si="235"/>
        <v>560000</v>
      </c>
      <c r="AB1270" s="84">
        <f t="shared" si="228"/>
        <v>0</v>
      </c>
    </row>
    <row r="1271" spans="1:31" ht="15.75" collapsed="1" thickBot="1" x14ac:dyDescent="0.3">
      <c r="G1271" s="798" t="s">
        <v>4985</v>
      </c>
      <c r="H1271" s="799">
        <f>H1270</f>
        <v>1350000</v>
      </c>
      <c r="I1271" s="799">
        <f t="shared" ref="I1271:S1271" si="236">I1270</f>
        <v>790000</v>
      </c>
      <c r="J1271" s="800">
        <f t="shared" si="236"/>
        <v>0.58518518518518514</v>
      </c>
      <c r="K1271" s="799">
        <f t="shared" si="236"/>
        <v>560000</v>
      </c>
      <c r="L1271" s="801">
        <f t="shared" si="236"/>
        <v>0</v>
      </c>
      <c r="M1271" s="801">
        <f t="shared" si="236"/>
        <v>0</v>
      </c>
      <c r="N1271" s="802">
        <f t="shared" si="236"/>
        <v>0</v>
      </c>
      <c r="O1271" s="801">
        <f t="shared" si="236"/>
        <v>0</v>
      </c>
      <c r="P1271" s="801">
        <f t="shared" si="236"/>
        <v>1350000</v>
      </c>
      <c r="Q1271" s="801">
        <f t="shared" si="236"/>
        <v>790000</v>
      </c>
      <c r="R1271" s="802">
        <f t="shared" si="236"/>
        <v>0.58518518518518514</v>
      </c>
      <c r="S1271" s="801">
        <f t="shared" si="236"/>
        <v>560000</v>
      </c>
      <c r="AB1271" s="84">
        <f t="shared" si="228"/>
        <v>0</v>
      </c>
    </row>
    <row r="1272" spans="1:31" x14ac:dyDescent="0.25">
      <c r="A1272" s="84"/>
      <c r="B1272" s="84"/>
      <c r="G1272" s="811"/>
      <c r="H1272" s="812"/>
      <c r="I1272" s="812"/>
      <c r="J1272" s="813"/>
      <c r="K1272" s="812"/>
      <c r="L1272" s="814"/>
      <c r="M1272" s="814"/>
      <c r="N1272" s="815"/>
      <c r="O1272" s="814"/>
      <c r="P1272" s="814"/>
      <c r="Q1272" s="814"/>
      <c r="R1272" s="815"/>
      <c r="S1272" s="814"/>
      <c r="AB1272" s="84">
        <f t="shared" si="228"/>
        <v>0</v>
      </c>
    </row>
    <row r="1273" spans="1:31" x14ac:dyDescent="0.25">
      <c r="E1273" s="784"/>
      <c r="F1273" s="785"/>
      <c r="G1273" s="821" t="s">
        <v>4182</v>
      </c>
      <c r="H1273" s="822"/>
      <c r="I1273" s="822"/>
      <c r="J1273" s="823"/>
      <c r="K1273" s="822"/>
      <c r="L1273" s="824"/>
      <c r="M1273" s="824"/>
      <c r="N1273" s="825"/>
      <c r="O1273" s="824"/>
      <c r="P1273" s="824"/>
      <c r="Q1273" s="824"/>
      <c r="R1273" s="825"/>
      <c r="S1273" s="880"/>
      <c r="AB1273" s="84">
        <f t="shared" si="228"/>
        <v>0</v>
      </c>
    </row>
    <row r="1274" spans="1:31" ht="15.75" thickBot="1" x14ac:dyDescent="0.3">
      <c r="E1274" s="791"/>
      <c r="F1274" s="792" t="s">
        <v>235</v>
      </c>
      <c r="G1274" s="793" t="s">
        <v>236</v>
      </c>
      <c r="H1274" s="794">
        <f>H1270+H1260</f>
        <v>2680000</v>
      </c>
      <c r="I1274" s="794">
        <f>I1270+I1260</f>
        <v>1920000</v>
      </c>
      <c r="J1274" s="795">
        <f t="shared" ref="J1274:S1274" si="237">J1270</f>
        <v>0.58518518518518514</v>
      </c>
      <c r="K1274" s="794">
        <f>H1274-I1274</f>
        <v>760000</v>
      </c>
      <c r="L1274" s="796">
        <v>0</v>
      </c>
      <c r="M1274" s="796">
        <v>0</v>
      </c>
      <c r="N1274" s="797">
        <f t="shared" si="237"/>
        <v>0</v>
      </c>
      <c r="O1274" s="796">
        <f t="shared" si="237"/>
        <v>0</v>
      </c>
      <c r="P1274" s="796">
        <f>H1274+L1274</f>
        <v>2680000</v>
      </c>
      <c r="Q1274" s="796">
        <f>I1274+M1274</f>
        <v>1920000</v>
      </c>
      <c r="R1274" s="797">
        <f t="shared" si="237"/>
        <v>0.58518518518518514</v>
      </c>
      <c r="S1274" s="796">
        <f t="shared" si="237"/>
        <v>560000</v>
      </c>
      <c r="AB1274" s="84">
        <f t="shared" si="228"/>
        <v>0</v>
      </c>
    </row>
    <row r="1275" spans="1:31" ht="15.75" thickBot="1" x14ac:dyDescent="0.3">
      <c r="G1275" s="798" t="s">
        <v>4183</v>
      </c>
      <c r="H1275" s="799">
        <f>H1274</f>
        <v>2680000</v>
      </c>
      <c r="I1275" s="799">
        <f t="shared" ref="I1275:S1275" si="238">I1274</f>
        <v>1920000</v>
      </c>
      <c r="J1275" s="800">
        <f t="shared" si="238"/>
        <v>0.58518518518518514</v>
      </c>
      <c r="K1275" s="799">
        <f t="shared" si="238"/>
        <v>760000</v>
      </c>
      <c r="L1275" s="801">
        <f t="shared" si="238"/>
        <v>0</v>
      </c>
      <c r="M1275" s="801">
        <f t="shared" si="238"/>
        <v>0</v>
      </c>
      <c r="N1275" s="802">
        <f t="shared" si="238"/>
        <v>0</v>
      </c>
      <c r="O1275" s="801">
        <f t="shared" si="238"/>
        <v>0</v>
      </c>
      <c r="P1275" s="801">
        <f t="shared" si="238"/>
        <v>2680000</v>
      </c>
      <c r="Q1275" s="801">
        <f t="shared" si="238"/>
        <v>1920000</v>
      </c>
      <c r="R1275" s="802">
        <f t="shared" si="238"/>
        <v>0.58518518518518514</v>
      </c>
      <c r="S1275" s="801">
        <f t="shared" si="238"/>
        <v>560000</v>
      </c>
      <c r="AB1275" s="84">
        <f t="shared" si="228"/>
        <v>0</v>
      </c>
    </row>
    <row r="1276" spans="1:31" x14ac:dyDescent="0.25">
      <c r="G1276" s="811"/>
      <c r="H1276" s="812"/>
      <c r="I1276" s="812"/>
      <c r="J1276" s="813"/>
      <c r="K1276" s="812"/>
      <c r="L1276" s="814"/>
      <c r="M1276" s="814"/>
      <c r="N1276" s="815"/>
      <c r="O1276" s="814"/>
      <c r="P1276" s="814"/>
      <c r="Q1276" s="814"/>
      <c r="R1276" s="815"/>
      <c r="S1276" s="814"/>
      <c r="AB1276" s="84">
        <f t="shared" si="228"/>
        <v>0</v>
      </c>
    </row>
    <row r="1277" spans="1:31" ht="28.5" x14ac:dyDescent="0.25">
      <c r="C1277" s="761" t="s">
        <v>3600</v>
      </c>
      <c r="G1277" s="869" t="s">
        <v>4987</v>
      </c>
      <c r="H1277" s="812"/>
      <c r="I1277" s="812"/>
      <c r="J1277" s="813"/>
      <c r="K1277" s="812"/>
      <c r="L1277" s="814"/>
      <c r="M1277" s="814"/>
      <c r="N1277" s="815"/>
      <c r="O1277" s="814"/>
      <c r="P1277" s="814"/>
      <c r="Q1277" s="814"/>
      <c r="R1277" s="815"/>
      <c r="S1277" s="814"/>
      <c r="AB1277" s="84">
        <f t="shared" si="228"/>
        <v>0</v>
      </c>
    </row>
    <row r="1278" spans="1:31" ht="28.5" x14ac:dyDescent="0.25">
      <c r="C1278" s="761" t="s">
        <v>4079</v>
      </c>
      <c r="D1278" s="770"/>
      <c r="G1278" s="995" t="s">
        <v>4080</v>
      </c>
      <c r="AB1278" s="84">
        <f t="shared" si="228"/>
        <v>0</v>
      </c>
    </row>
    <row r="1279" spans="1:31" ht="21" customHeight="1" x14ac:dyDescent="0.25">
      <c r="C1279" s="761"/>
      <c r="D1279" s="778">
        <v>810</v>
      </c>
      <c r="E1279" s="779"/>
      <c r="F1279" s="778"/>
      <c r="G1279" s="780" t="s">
        <v>207</v>
      </c>
      <c r="H1279" s="794"/>
      <c r="I1279" s="794"/>
      <c r="J1279" s="795"/>
      <c r="K1279" s="794"/>
      <c r="L1279" s="796"/>
      <c r="M1279" s="796"/>
      <c r="N1279" s="797"/>
      <c r="O1279" s="796"/>
      <c r="P1279" s="796"/>
      <c r="Q1279" s="796"/>
      <c r="R1279" s="797"/>
      <c r="S1279" s="796"/>
      <c r="AB1279" s="84">
        <f t="shared" si="228"/>
        <v>0</v>
      </c>
    </row>
    <row r="1280" spans="1:31" ht="15.75" thickBot="1" x14ac:dyDescent="0.3">
      <c r="E1280" s="760" t="s">
        <v>5253</v>
      </c>
      <c r="F1280" s="782">
        <v>481</v>
      </c>
      <c r="G1280" s="876" t="s">
        <v>4136</v>
      </c>
      <c r="H1280" s="763">
        <v>12000000</v>
      </c>
      <c r="I1280" s="763">
        <f>9549903.65+973587.58</f>
        <v>10523491.23</v>
      </c>
      <c r="J1280" s="764">
        <f>I1280/H1280</f>
        <v>0.87695760249999999</v>
      </c>
      <c r="K1280" s="763">
        <f>H1280-I1280</f>
        <v>1476508.7699999996</v>
      </c>
      <c r="L1280" s="765">
        <v>0</v>
      </c>
      <c r="M1280" s="765">
        <v>0</v>
      </c>
      <c r="O1280" s="765">
        <f>L1280-M1280</f>
        <v>0</v>
      </c>
      <c r="P1280" s="765">
        <f>L1280+H1280</f>
        <v>12000000</v>
      </c>
      <c r="Q1280" s="765">
        <f>M1280+I1280</f>
        <v>10523491.23</v>
      </c>
      <c r="R1280" s="766">
        <f>Q1280/P1280</f>
        <v>0.87695760249999999</v>
      </c>
      <c r="S1280" s="765">
        <f>P1280-Q1280</f>
        <v>1476508.7699999996</v>
      </c>
      <c r="Z1280" s="830">
        <f>H1280-X1280+Y1280</f>
        <v>12000000</v>
      </c>
      <c r="AA1280" s="831">
        <v>12760838</v>
      </c>
      <c r="AB1280" s="84">
        <f t="shared" si="228"/>
        <v>-760838</v>
      </c>
      <c r="AE1280" s="84">
        <f>H1280-AA1280</f>
        <v>-760838</v>
      </c>
    </row>
    <row r="1281" spans="1:31" x14ac:dyDescent="0.25">
      <c r="A1281" s="84"/>
      <c r="B1281" s="84"/>
      <c r="E1281" s="784"/>
      <c r="F1281" s="785"/>
      <c r="G1281" s="786" t="s">
        <v>4988</v>
      </c>
      <c r="H1281" s="787"/>
      <c r="I1281" s="787"/>
      <c r="J1281" s="788"/>
      <c r="K1281" s="787"/>
      <c r="L1281" s="789"/>
      <c r="M1281" s="789"/>
      <c r="N1281" s="790"/>
      <c r="O1281" s="789"/>
      <c r="P1281" s="789"/>
      <c r="Q1281" s="789"/>
      <c r="R1281" s="790"/>
      <c r="S1281" s="877"/>
      <c r="AB1281" s="84">
        <f t="shared" si="228"/>
        <v>0</v>
      </c>
    </row>
    <row r="1282" spans="1:31" ht="15.75" thickBot="1" x14ac:dyDescent="0.3">
      <c r="A1282" s="84"/>
      <c r="B1282" s="84"/>
      <c r="E1282" s="791"/>
      <c r="F1282" s="792" t="s">
        <v>235</v>
      </c>
      <c r="G1282" s="793" t="s">
        <v>236</v>
      </c>
      <c r="H1282" s="794">
        <f t="shared" ref="H1282:M1282" si="239">SUM(H1280)</f>
        <v>12000000</v>
      </c>
      <c r="I1282" s="794">
        <f t="shared" si="239"/>
        <v>10523491.23</v>
      </c>
      <c r="J1282" s="795">
        <f t="shared" si="239"/>
        <v>0.87695760249999999</v>
      </c>
      <c r="K1282" s="794">
        <f t="shared" si="239"/>
        <v>1476508.7699999996</v>
      </c>
      <c r="L1282" s="796">
        <f t="shared" si="239"/>
        <v>0</v>
      </c>
      <c r="M1282" s="796">
        <f t="shared" si="239"/>
        <v>0</v>
      </c>
      <c r="N1282" s="797"/>
      <c r="O1282" s="796">
        <f>SUM(O1280)</f>
        <v>0</v>
      </c>
      <c r="P1282" s="796">
        <f>SUM(P1280)</f>
        <v>12000000</v>
      </c>
      <c r="Q1282" s="796">
        <f>SUM(Q1280)</f>
        <v>10523491.23</v>
      </c>
      <c r="R1282" s="797">
        <f>SUM(R1280)</f>
        <v>0.87695760249999999</v>
      </c>
      <c r="S1282" s="796">
        <f>SUM(S1280)</f>
        <v>1476508.7699999996</v>
      </c>
      <c r="AB1282" s="84">
        <f t="shared" si="228"/>
        <v>0</v>
      </c>
    </row>
    <row r="1283" spans="1:31" ht="15.75" thickBot="1" x14ac:dyDescent="0.3">
      <c r="A1283" s="84"/>
      <c r="B1283" s="84"/>
      <c r="G1283" s="798" t="s">
        <v>4989</v>
      </c>
      <c r="H1283" s="799">
        <f t="shared" ref="H1283:M1283" si="240">SUM(H1282)</f>
        <v>12000000</v>
      </c>
      <c r="I1283" s="799">
        <f t="shared" si="240"/>
        <v>10523491.23</v>
      </c>
      <c r="J1283" s="800">
        <f t="shared" si="240"/>
        <v>0.87695760249999999</v>
      </c>
      <c r="K1283" s="799">
        <f t="shared" si="240"/>
        <v>1476508.7699999996</v>
      </c>
      <c r="L1283" s="801">
        <f t="shared" si="240"/>
        <v>0</v>
      </c>
      <c r="M1283" s="801">
        <f t="shared" si="240"/>
        <v>0</v>
      </c>
      <c r="N1283" s="802"/>
      <c r="O1283" s="801">
        <f>SUM(O1282)</f>
        <v>0</v>
      </c>
      <c r="P1283" s="801">
        <f>SUM(P1282)</f>
        <v>12000000</v>
      </c>
      <c r="Q1283" s="801">
        <f>SUM(Q1282)</f>
        <v>10523491.23</v>
      </c>
      <c r="R1283" s="802">
        <f>SUM(R1282)</f>
        <v>0.87695760249999999</v>
      </c>
      <c r="S1283" s="801">
        <f>SUM(S1282)</f>
        <v>1476508.7699999996</v>
      </c>
      <c r="AB1283" s="84">
        <f t="shared" si="228"/>
        <v>0</v>
      </c>
    </row>
    <row r="1284" spans="1:31" ht="28.5" collapsed="1" x14ac:dyDescent="0.25">
      <c r="A1284" s="84"/>
      <c r="B1284" s="84"/>
      <c r="E1284" s="784"/>
      <c r="F1284" s="785"/>
      <c r="G1284" s="803" t="s">
        <v>5015</v>
      </c>
      <c r="H1284" s="804"/>
      <c r="I1284" s="805"/>
      <c r="J1284" s="806"/>
      <c r="K1284" s="805"/>
      <c r="L1284" s="807"/>
      <c r="M1284" s="808"/>
      <c r="N1284" s="809"/>
      <c r="O1284" s="808"/>
      <c r="P1284" s="808"/>
      <c r="Q1284" s="808"/>
      <c r="R1284" s="809"/>
      <c r="S1284" s="878"/>
      <c r="AB1284" s="84">
        <f t="shared" ref="AB1284:AB1338" si="241">Z1284-AA1284</f>
        <v>0</v>
      </c>
    </row>
    <row r="1285" spans="1:31" ht="15.75" thickBot="1" x14ac:dyDescent="0.3">
      <c r="A1285" s="84"/>
      <c r="B1285" s="84"/>
      <c r="E1285" s="791"/>
      <c r="F1285" s="792" t="s">
        <v>235</v>
      </c>
      <c r="G1285" s="793" t="s">
        <v>236</v>
      </c>
      <c r="H1285" s="794">
        <f t="shared" ref="H1285:M1285" si="242">SUM(H1282)</f>
        <v>12000000</v>
      </c>
      <c r="I1285" s="794">
        <f t="shared" si="242"/>
        <v>10523491.23</v>
      </c>
      <c r="J1285" s="795">
        <f t="shared" si="242"/>
        <v>0.87695760249999999</v>
      </c>
      <c r="K1285" s="794">
        <f t="shared" si="242"/>
        <v>1476508.7699999996</v>
      </c>
      <c r="L1285" s="796">
        <f t="shared" si="242"/>
        <v>0</v>
      </c>
      <c r="M1285" s="796">
        <f t="shared" si="242"/>
        <v>0</v>
      </c>
      <c r="N1285" s="797"/>
      <c r="O1285" s="796">
        <f>SUM(O1282)</f>
        <v>0</v>
      </c>
      <c r="P1285" s="796">
        <f>SUM(P1282)</f>
        <v>12000000</v>
      </c>
      <c r="Q1285" s="796">
        <f>SUM(Q1282)</f>
        <v>10523491.23</v>
      </c>
      <c r="R1285" s="797">
        <f>SUM(R1282)</f>
        <v>0.87695760249999999</v>
      </c>
      <c r="S1285" s="796">
        <f>SUM(S1282)</f>
        <v>1476508.7699999996</v>
      </c>
      <c r="AB1285" s="84">
        <f t="shared" si="241"/>
        <v>0</v>
      </c>
    </row>
    <row r="1286" spans="1:31" ht="15.75" collapsed="1" thickBot="1" x14ac:dyDescent="0.3">
      <c r="A1286" s="84"/>
      <c r="B1286" s="84"/>
      <c r="G1286" s="798" t="s">
        <v>4990</v>
      </c>
      <c r="H1286" s="799">
        <f t="shared" ref="H1286:M1286" si="243">SUM(H1285)</f>
        <v>12000000</v>
      </c>
      <c r="I1286" s="799">
        <f t="shared" si="243"/>
        <v>10523491.23</v>
      </c>
      <c r="J1286" s="800">
        <f t="shared" si="243"/>
        <v>0.87695760249999999</v>
      </c>
      <c r="K1286" s="799">
        <f t="shared" si="243"/>
        <v>1476508.7699999996</v>
      </c>
      <c r="L1286" s="801">
        <f t="shared" si="243"/>
        <v>0</v>
      </c>
      <c r="M1286" s="801">
        <f t="shared" si="243"/>
        <v>0</v>
      </c>
      <c r="N1286" s="802"/>
      <c r="O1286" s="801">
        <f>SUM(O1285)</f>
        <v>0</v>
      </c>
      <c r="P1286" s="801">
        <f>SUM(P1285)</f>
        <v>12000000</v>
      </c>
      <c r="Q1286" s="801">
        <f>SUM(Q1285)</f>
        <v>10523491.23</v>
      </c>
      <c r="R1286" s="802">
        <f>SUM(R1285)</f>
        <v>0.87695760249999999</v>
      </c>
      <c r="S1286" s="801">
        <f>SUM(S1285)</f>
        <v>1476508.7699999996</v>
      </c>
      <c r="AB1286" s="84">
        <f t="shared" si="241"/>
        <v>0</v>
      </c>
    </row>
    <row r="1287" spans="1:31" x14ac:dyDescent="0.25">
      <c r="A1287" s="84"/>
      <c r="B1287" s="84"/>
      <c r="G1287" s="811"/>
      <c r="H1287" s="812"/>
      <c r="I1287" s="812"/>
      <c r="J1287" s="813"/>
      <c r="K1287" s="812"/>
      <c r="L1287" s="814"/>
      <c r="M1287" s="814"/>
      <c r="N1287" s="815"/>
      <c r="O1287" s="814"/>
      <c r="P1287" s="814"/>
      <c r="Q1287" s="814"/>
      <c r="R1287" s="815"/>
      <c r="S1287" s="814"/>
      <c r="AB1287" s="84">
        <f t="shared" si="241"/>
        <v>0</v>
      </c>
    </row>
    <row r="1288" spans="1:31" ht="20.25" customHeight="1" x14ac:dyDescent="0.25">
      <c r="A1288" s="84"/>
      <c r="B1288" s="84"/>
      <c r="C1288" s="761" t="s">
        <v>4081</v>
      </c>
      <c r="D1288" s="770"/>
      <c r="G1288" s="995" t="s">
        <v>5182</v>
      </c>
      <c r="AB1288" s="84">
        <f t="shared" si="241"/>
        <v>0</v>
      </c>
    </row>
    <row r="1289" spans="1:31" ht="21" customHeight="1" x14ac:dyDescent="0.25">
      <c r="A1289" s="84"/>
      <c r="B1289" s="84"/>
      <c r="C1289" s="761"/>
      <c r="D1289" s="778">
        <v>810</v>
      </c>
      <c r="E1289" s="779"/>
      <c r="F1289" s="778"/>
      <c r="G1289" s="780" t="s">
        <v>207</v>
      </c>
      <c r="H1289" s="794"/>
      <c r="I1289" s="794"/>
      <c r="J1289" s="795"/>
      <c r="K1289" s="794"/>
      <c r="L1289" s="796"/>
      <c r="M1289" s="796"/>
      <c r="N1289" s="797"/>
      <c r="O1289" s="796"/>
      <c r="P1289" s="796"/>
      <c r="Q1289" s="796"/>
      <c r="R1289" s="797"/>
      <c r="S1289" s="796"/>
      <c r="AB1289" s="84">
        <f t="shared" si="241"/>
        <v>0</v>
      </c>
    </row>
    <row r="1290" spans="1:31" ht="15.75" thickBot="1" x14ac:dyDescent="0.3">
      <c r="A1290" s="84"/>
      <c r="B1290" s="84"/>
      <c r="E1290" s="760" t="s">
        <v>5254</v>
      </c>
      <c r="F1290" s="782">
        <v>424</v>
      </c>
      <c r="G1290" s="876" t="s">
        <v>3785</v>
      </c>
      <c r="H1290" s="763">
        <v>280000</v>
      </c>
      <c r="I1290" s="763">
        <f>221519.06+31645.58</f>
        <v>253164.64</v>
      </c>
      <c r="J1290" s="764">
        <f>I1290/H1290</f>
        <v>0.90415942857142861</v>
      </c>
      <c r="K1290" s="763">
        <f>H1290-I1290</f>
        <v>26835.359999999986</v>
      </c>
      <c r="L1290" s="765">
        <v>0</v>
      </c>
      <c r="M1290" s="765">
        <v>0</v>
      </c>
      <c r="O1290" s="765">
        <f>L1290-M1290</f>
        <v>0</v>
      </c>
      <c r="P1290" s="765">
        <f>L1290+H1290</f>
        <v>280000</v>
      </c>
      <c r="Q1290" s="765">
        <f>M1290+I1290</f>
        <v>253164.64</v>
      </c>
      <c r="R1290" s="766">
        <f>Q1290/P1290</f>
        <v>0.90415942857142861</v>
      </c>
      <c r="S1290" s="765">
        <f>P1290-Q1290</f>
        <v>26835.359999999986</v>
      </c>
      <c r="V1290" s="203">
        <f>70000+253164.64</f>
        <v>323164.64</v>
      </c>
      <c r="W1290" s="203">
        <f>H1290-V1290</f>
        <v>-43164.640000000014</v>
      </c>
      <c r="X1290" s="833">
        <v>150000</v>
      </c>
      <c r="Z1290" s="830">
        <f>H1290-X1290+Y1290</f>
        <v>130000</v>
      </c>
      <c r="AA1290" s="831">
        <v>475000</v>
      </c>
      <c r="AB1290" s="84">
        <f t="shared" si="241"/>
        <v>-345000</v>
      </c>
      <c r="AE1290" s="84">
        <f>H1290-AA1290</f>
        <v>-195000</v>
      </c>
    </row>
    <row r="1291" spans="1:31" x14ac:dyDescent="0.25">
      <c r="A1291" s="84"/>
      <c r="B1291" s="84"/>
      <c r="E1291" s="784"/>
      <c r="F1291" s="785"/>
      <c r="G1291" s="786" t="s">
        <v>4988</v>
      </c>
      <c r="H1291" s="787"/>
      <c r="I1291" s="787"/>
      <c r="J1291" s="788"/>
      <c r="K1291" s="787"/>
      <c r="L1291" s="789"/>
      <c r="M1291" s="789"/>
      <c r="N1291" s="790"/>
      <c r="O1291" s="789"/>
      <c r="P1291" s="789"/>
      <c r="Q1291" s="789"/>
      <c r="R1291" s="790"/>
      <c r="S1291" s="877"/>
      <c r="AB1291" s="84">
        <f t="shared" si="241"/>
        <v>0</v>
      </c>
    </row>
    <row r="1292" spans="1:31" ht="15.75" thickBot="1" x14ac:dyDescent="0.3">
      <c r="A1292" s="84"/>
      <c r="B1292" s="84"/>
      <c r="E1292" s="791"/>
      <c r="F1292" s="792" t="s">
        <v>235</v>
      </c>
      <c r="G1292" s="793" t="s">
        <v>236</v>
      </c>
      <c r="H1292" s="794">
        <f t="shared" ref="H1292:M1292" si="244">SUM(H1290)</f>
        <v>280000</v>
      </c>
      <c r="I1292" s="794">
        <f t="shared" si="244"/>
        <v>253164.64</v>
      </c>
      <c r="J1292" s="795">
        <f t="shared" si="244"/>
        <v>0.90415942857142861</v>
      </c>
      <c r="K1292" s="794">
        <f t="shared" si="244"/>
        <v>26835.359999999986</v>
      </c>
      <c r="L1292" s="796">
        <f t="shared" si="244"/>
        <v>0</v>
      </c>
      <c r="M1292" s="796">
        <f t="shared" si="244"/>
        <v>0</v>
      </c>
      <c r="N1292" s="797"/>
      <c r="O1292" s="796">
        <f>SUM(O1290)</f>
        <v>0</v>
      </c>
      <c r="P1292" s="796">
        <f>SUM(P1290)</f>
        <v>280000</v>
      </c>
      <c r="Q1292" s="796">
        <f>SUM(Q1290)</f>
        <v>253164.64</v>
      </c>
      <c r="R1292" s="797">
        <f>SUM(R1290)</f>
        <v>0.90415942857142861</v>
      </c>
      <c r="S1292" s="796">
        <f>SUM(S1290)</f>
        <v>26835.359999999986</v>
      </c>
      <c r="AB1292" s="84">
        <f t="shared" si="241"/>
        <v>0</v>
      </c>
    </row>
    <row r="1293" spans="1:31" ht="15.75" thickBot="1" x14ac:dyDescent="0.3">
      <c r="A1293" s="84"/>
      <c r="B1293" s="84"/>
      <c r="G1293" s="798" t="s">
        <v>4989</v>
      </c>
      <c r="H1293" s="799">
        <f t="shared" ref="H1293:M1293" si="245">SUM(H1292)</f>
        <v>280000</v>
      </c>
      <c r="I1293" s="799">
        <f t="shared" si="245"/>
        <v>253164.64</v>
      </c>
      <c r="J1293" s="800">
        <f t="shared" si="245"/>
        <v>0.90415942857142861</v>
      </c>
      <c r="K1293" s="799">
        <f t="shared" si="245"/>
        <v>26835.359999999986</v>
      </c>
      <c r="L1293" s="801">
        <f t="shared" si="245"/>
        <v>0</v>
      </c>
      <c r="M1293" s="801">
        <f t="shared" si="245"/>
        <v>0</v>
      </c>
      <c r="N1293" s="802"/>
      <c r="O1293" s="801">
        <f>SUM(O1292)</f>
        <v>0</v>
      </c>
      <c r="P1293" s="801">
        <f>SUM(P1292)</f>
        <v>280000</v>
      </c>
      <c r="Q1293" s="801">
        <f>SUM(Q1292)</f>
        <v>253164.64</v>
      </c>
      <c r="R1293" s="802">
        <f>SUM(R1292)</f>
        <v>0.90415942857142861</v>
      </c>
      <c r="S1293" s="801">
        <f>SUM(S1292)</f>
        <v>26835.359999999986</v>
      </c>
      <c r="AB1293" s="84">
        <f t="shared" si="241"/>
        <v>0</v>
      </c>
    </row>
    <row r="1294" spans="1:31" ht="28.5" collapsed="1" x14ac:dyDescent="0.25">
      <c r="A1294" s="84"/>
      <c r="B1294" s="84"/>
      <c r="E1294" s="784"/>
      <c r="F1294" s="785"/>
      <c r="G1294" s="803" t="s">
        <v>5180</v>
      </c>
      <c r="H1294" s="804"/>
      <c r="I1294" s="805"/>
      <c r="J1294" s="806"/>
      <c r="K1294" s="805"/>
      <c r="L1294" s="807"/>
      <c r="M1294" s="808"/>
      <c r="N1294" s="809"/>
      <c r="O1294" s="808"/>
      <c r="P1294" s="808"/>
      <c r="Q1294" s="808"/>
      <c r="R1294" s="809"/>
      <c r="S1294" s="878"/>
      <c r="AB1294" s="84">
        <f t="shared" si="241"/>
        <v>0</v>
      </c>
    </row>
    <row r="1295" spans="1:31" ht="15.75" thickBot="1" x14ac:dyDescent="0.3">
      <c r="A1295" s="84"/>
      <c r="B1295" s="84"/>
      <c r="E1295" s="791"/>
      <c r="F1295" s="792" t="s">
        <v>235</v>
      </c>
      <c r="G1295" s="793" t="s">
        <v>236</v>
      </c>
      <c r="H1295" s="794">
        <f t="shared" ref="H1295:M1295" si="246">SUM(H1292)</f>
        <v>280000</v>
      </c>
      <c r="I1295" s="794">
        <f t="shared" si="246"/>
        <v>253164.64</v>
      </c>
      <c r="J1295" s="795">
        <f t="shared" si="246"/>
        <v>0.90415942857142861</v>
      </c>
      <c r="K1295" s="794">
        <f t="shared" si="246"/>
        <v>26835.359999999986</v>
      </c>
      <c r="L1295" s="796">
        <f t="shared" si="246"/>
        <v>0</v>
      </c>
      <c r="M1295" s="796">
        <f t="shared" si="246"/>
        <v>0</v>
      </c>
      <c r="N1295" s="797"/>
      <c r="O1295" s="796">
        <f>SUM(O1292)</f>
        <v>0</v>
      </c>
      <c r="P1295" s="796">
        <f>SUM(P1292)</f>
        <v>280000</v>
      </c>
      <c r="Q1295" s="796">
        <f>SUM(Q1292)</f>
        <v>253164.64</v>
      </c>
      <c r="R1295" s="797">
        <f>SUM(R1292)</f>
        <v>0.90415942857142861</v>
      </c>
      <c r="S1295" s="796">
        <f>SUM(S1292)</f>
        <v>26835.359999999986</v>
      </c>
      <c r="AB1295" s="84">
        <f t="shared" si="241"/>
        <v>0</v>
      </c>
    </row>
    <row r="1296" spans="1:31" ht="15.75" collapsed="1" thickBot="1" x14ac:dyDescent="0.3">
      <c r="A1296" s="84"/>
      <c r="B1296" s="84"/>
      <c r="G1296" s="798" t="s">
        <v>5181</v>
      </c>
      <c r="H1296" s="799">
        <f t="shared" ref="H1296:M1296" si="247">SUM(H1295)</f>
        <v>280000</v>
      </c>
      <c r="I1296" s="799">
        <f t="shared" si="247"/>
        <v>253164.64</v>
      </c>
      <c r="J1296" s="800">
        <f t="shared" si="247"/>
        <v>0.90415942857142861</v>
      </c>
      <c r="K1296" s="799">
        <f t="shared" si="247"/>
        <v>26835.359999999986</v>
      </c>
      <c r="L1296" s="801">
        <f t="shared" si="247"/>
        <v>0</v>
      </c>
      <c r="M1296" s="801">
        <f t="shared" si="247"/>
        <v>0</v>
      </c>
      <c r="N1296" s="802"/>
      <c r="O1296" s="801">
        <f>SUM(O1295)</f>
        <v>0</v>
      </c>
      <c r="P1296" s="801">
        <f>SUM(P1295)</f>
        <v>280000</v>
      </c>
      <c r="Q1296" s="801">
        <f>SUM(Q1295)</f>
        <v>253164.64</v>
      </c>
      <c r="R1296" s="802">
        <f>SUM(R1295)</f>
        <v>0.90415942857142861</v>
      </c>
      <c r="S1296" s="801">
        <f>SUM(S1295)</f>
        <v>26835.359999999986</v>
      </c>
      <c r="AB1296" s="84">
        <f t="shared" si="241"/>
        <v>0</v>
      </c>
    </row>
    <row r="1297" spans="1:31" x14ac:dyDescent="0.25">
      <c r="A1297" s="84"/>
      <c r="B1297" s="84"/>
      <c r="G1297" s="811"/>
      <c r="H1297" s="812"/>
      <c r="I1297" s="812"/>
      <c r="J1297" s="813"/>
      <c r="K1297" s="812"/>
      <c r="L1297" s="814"/>
      <c r="M1297" s="814"/>
      <c r="N1297" s="815"/>
      <c r="O1297" s="814"/>
      <c r="P1297" s="814"/>
      <c r="Q1297" s="814"/>
      <c r="R1297" s="815"/>
      <c r="S1297" s="814"/>
      <c r="AB1297" s="84">
        <f t="shared" si="241"/>
        <v>0</v>
      </c>
    </row>
    <row r="1298" spans="1:31" hidden="1" x14ac:dyDescent="0.25">
      <c r="A1298" s="84"/>
      <c r="B1298" s="84"/>
      <c r="G1298" s="811"/>
      <c r="H1298" s="812"/>
      <c r="I1298" s="812"/>
      <c r="J1298" s="813"/>
      <c r="K1298" s="812"/>
      <c r="L1298" s="814"/>
      <c r="M1298" s="814"/>
      <c r="N1298" s="815"/>
      <c r="O1298" s="814"/>
      <c r="P1298" s="814"/>
      <c r="Q1298" s="814"/>
      <c r="R1298" s="815"/>
      <c r="S1298" s="814"/>
      <c r="AB1298" s="84">
        <f t="shared" si="241"/>
        <v>0</v>
      </c>
    </row>
    <row r="1299" spans="1:31" x14ac:dyDescent="0.25">
      <c r="A1299" s="84"/>
      <c r="B1299" s="84"/>
      <c r="E1299" s="784"/>
      <c r="F1299" s="785"/>
      <c r="G1299" s="821" t="s">
        <v>4995</v>
      </c>
      <c r="H1299" s="822"/>
      <c r="I1299" s="822"/>
      <c r="J1299" s="823"/>
      <c r="K1299" s="822"/>
      <c r="L1299" s="824"/>
      <c r="M1299" s="824"/>
      <c r="N1299" s="825"/>
      <c r="O1299" s="824"/>
      <c r="P1299" s="824"/>
      <c r="Q1299" s="824"/>
      <c r="R1299" s="825"/>
      <c r="S1299" s="880"/>
      <c r="AB1299" s="84">
        <f t="shared" si="241"/>
        <v>0</v>
      </c>
    </row>
    <row r="1300" spans="1:31" ht="15.75" thickBot="1" x14ac:dyDescent="0.3">
      <c r="A1300" s="84"/>
      <c r="B1300" s="84"/>
      <c r="E1300" s="791"/>
      <c r="F1300" s="792" t="s">
        <v>235</v>
      </c>
      <c r="G1300" s="793" t="s">
        <v>236</v>
      </c>
      <c r="H1300" s="794">
        <f>H1285+H1295</f>
        <v>12280000</v>
      </c>
      <c r="I1300" s="794" t="e">
        <f>I1285+I1295+#REF!</f>
        <v>#REF!</v>
      </c>
      <c r="J1300" s="795">
        <f>J1285</f>
        <v>0.87695760249999999</v>
      </c>
      <c r="K1300" s="794" t="e">
        <f>H1300-I1300</f>
        <v>#REF!</v>
      </c>
      <c r="L1300" s="796">
        <f>L1285</f>
        <v>0</v>
      </c>
      <c r="M1300" s="796">
        <f>M1285</f>
        <v>0</v>
      </c>
      <c r="N1300" s="797">
        <f>N1285</f>
        <v>0</v>
      </c>
      <c r="O1300" s="796">
        <f>O1285</f>
        <v>0</v>
      </c>
      <c r="P1300" s="796">
        <f>H1300</f>
        <v>12280000</v>
      </c>
      <c r="Q1300" s="796" t="e">
        <f>I1300</f>
        <v>#REF!</v>
      </c>
      <c r="R1300" s="797">
        <f>R1285</f>
        <v>0.87695760249999999</v>
      </c>
      <c r="S1300" s="796" t="e">
        <f>P1300-Q1300</f>
        <v>#REF!</v>
      </c>
      <c r="AB1300" s="84">
        <f t="shared" si="241"/>
        <v>0</v>
      </c>
    </row>
    <row r="1301" spans="1:31" ht="15.75" hidden="1" thickBot="1" x14ac:dyDescent="0.3">
      <c r="A1301" s="84"/>
      <c r="B1301" s="84"/>
      <c r="E1301" s="791"/>
      <c r="F1301" s="792">
        <v>10</v>
      </c>
      <c r="G1301" s="793" t="s">
        <v>251</v>
      </c>
      <c r="H1301" s="794">
        <v>0</v>
      </c>
      <c r="I1301" s="794">
        <v>0</v>
      </c>
      <c r="J1301" s="795"/>
      <c r="K1301" s="794">
        <v>0</v>
      </c>
      <c r="L1301" s="796">
        <v>0</v>
      </c>
      <c r="M1301" s="796" t="e">
        <f>#REF!</f>
        <v>#REF!</v>
      </c>
      <c r="N1301" s="797" t="e">
        <f>M1301/L1301</f>
        <v>#REF!</v>
      </c>
      <c r="O1301" s="796" t="e">
        <f>L1301-M1301</f>
        <v>#REF!</v>
      </c>
      <c r="P1301" s="796">
        <f>L1301</f>
        <v>0</v>
      </c>
      <c r="Q1301" s="796" t="e">
        <f>M1301</f>
        <v>#REF!</v>
      </c>
      <c r="R1301" s="797" t="e">
        <f>Q1301/P1301</f>
        <v>#REF!</v>
      </c>
      <c r="S1301" s="796" t="e">
        <f>P1301-Q1301</f>
        <v>#REF!</v>
      </c>
      <c r="AB1301" s="84">
        <f t="shared" si="241"/>
        <v>0</v>
      </c>
    </row>
    <row r="1302" spans="1:31" ht="15.75" thickBot="1" x14ac:dyDescent="0.3">
      <c r="G1302" s="798" t="s">
        <v>4996</v>
      </c>
      <c r="H1302" s="799">
        <f>SUM(H1300)</f>
        <v>12280000</v>
      </c>
      <c r="I1302" s="799" t="e">
        <f>SUM(I1300)</f>
        <v>#REF!</v>
      </c>
      <c r="J1302" s="800">
        <f>SUM(J1300)</f>
        <v>0.87695760249999999</v>
      </c>
      <c r="K1302" s="799" t="e">
        <f>SUM(K1300)</f>
        <v>#REF!</v>
      </c>
      <c r="L1302" s="801">
        <f>SUM(L1300:L1301)</f>
        <v>0</v>
      </c>
      <c r="M1302" s="801" t="e">
        <f>SUM(M1300:M1301)</f>
        <v>#REF!</v>
      </c>
      <c r="N1302" s="802" t="e">
        <f>M1302/L1302</f>
        <v>#REF!</v>
      </c>
      <c r="O1302" s="801" t="e">
        <f>L1302-M1302</f>
        <v>#REF!</v>
      </c>
      <c r="P1302" s="801">
        <f>H1302+L1302</f>
        <v>12280000</v>
      </c>
      <c r="Q1302" s="801" t="e">
        <f>I1302+M1302</f>
        <v>#REF!</v>
      </c>
      <c r="R1302" s="802" t="e">
        <f>P1302/Q1302</f>
        <v>#REF!</v>
      </c>
      <c r="S1302" s="801" t="e">
        <f>P1302-Q1302</f>
        <v>#REF!</v>
      </c>
      <c r="AB1302" s="84">
        <f t="shared" si="241"/>
        <v>0</v>
      </c>
    </row>
    <row r="1303" spans="1:31" x14ac:dyDescent="0.25">
      <c r="G1303" s="811"/>
      <c r="H1303" s="812"/>
      <c r="I1303" s="812"/>
      <c r="J1303" s="813"/>
      <c r="K1303" s="812"/>
      <c r="L1303" s="814"/>
      <c r="M1303" s="814"/>
      <c r="N1303" s="815"/>
      <c r="O1303" s="814"/>
      <c r="P1303" s="814"/>
      <c r="Q1303" s="814"/>
      <c r="R1303" s="815"/>
      <c r="S1303" s="814"/>
      <c r="AB1303" s="84">
        <f t="shared" si="241"/>
        <v>0</v>
      </c>
    </row>
    <row r="1304" spans="1:31" ht="28.5" hidden="1" x14ac:dyDescent="0.25">
      <c r="C1304" s="761" t="s">
        <v>4992</v>
      </c>
      <c r="G1304" s="869" t="s">
        <v>4991</v>
      </c>
      <c r="H1304" s="812"/>
      <c r="I1304" s="812"/>
      <c r="J1304" s="813"/>
      <c r="K1304" s="812"/>
      <c r="L1304" s="814"/>
      <c r="M1304" s="814"/>
      <c r="N1304" s="815"/>
      <c r="O1304" s="814"/>
      <c r="P1304" s="814"/>
      <c r="Q1304" s="814"/>
      <c r="R1304" s="815"/>
      <c r="S1304" s="814"/>
      <c r="AB1304" s="84">
        <f t="shared" si="241"/>
        <v>0</v>
      </c>
    </row>
    <row r="1305" spans="1:31" ht="28.5" hidden="1" x14ac:dyDescent="0.25">
      <c r="C1305" s="761" t="s">
        <v>5167</v>
      </c>
      <c r="D1305" s="770"/>
      <c r="G1305" s="995" t="s">
        <v>5168</v>
      </c>
      <c r="AB1305" s="84">
        <f t="shared" si="241"/>
        <v>0</v>
      </c>
    </row>
    <row r="1306" spans="1:31" ht="21" hidden="1" customHeight="1" x14ac:dyDescent="0.25">
      <c r="A1306" s="84"/>
      <c r="B1306" s="84"/>
      <c r="C1306" s="761"/>
      <c r="D1306" s="778">
        <v>436</v>
      </c>
      <c r="E1306" s="779"/>
      <c r="F1306" s="778"/>
      <c r="G1306" s="780" t="s">
        <v>148</v>
      </c>
      <c r="H1306" s="794"/>
      <c r="I1306" s="794"/>
      <c r="J1306" s="795"/>
      <c r="K1306" s="794"/>
      <c r="L1306" s="796"/>
      <c r="M1306" s="796"/>
      <c r="N1306" s="797"/>
      <c r="O1306" s="796"/>
      <c r="P1306" s="796"/>
      <c r="Q1306" s="796"/>
      <c r="R1306" s="797"/>
      <c r="S1306" s="796"/>
      <c r="T1306" s="84"/>
      <c r="V1306" s="84"/>
      <c r="W1306" s="84"/>
      <c r="AB1306" s="84">
        <f t="shared" si="241"/>
        <v>0</v>
      </c>
    </row>
    <row r="1307" spans="1:31" ht="15.75" hidden="1" thickBot="1" x14ac:dyDescent="0.3">
      <c r="A1307" s="84"/>
      <c r="B1307" s="84"/>
      <c r="E1307" s="760" t="s">
        <v>5255</v>
      </c>
      <c r="F1307" s="782">
        <v>425</v>
      </c>
      <c r="G1307" s="876" t="s">
        <v>4127</v>
      </c>
      <c r="H1307" s="763">
        <v>0</v>
      </c>
      <c r="I1307" s="763">
        <v>1357200</v>
      </c>
      <c r="J1307" s="764" t="e">
        <f>I1307/H1307</f>
        <v>#DIV/0!</v>
      </c>
      <c r="K1307" s="763">
        <f>H1307-I1307</f>
        <v>-1357200</v>
      </c>
      <c r="L1307" s="765">
        <v>0</v>
      </c>
      <c r="M1307" s="765">
        <v>0</v>
      </c>
      <c r="N1307" s="766" t="e">
        <f>M1307/L1307</f>
        <v>#DIV/0!</v>
      </c>
      <c r="O1307" s="765">
        <f>L1307-M1307</f>
        <v>0</v>
      </c>
      <c r="P1307" s="765">
        <f>L1307+H1307</f>
        <v>0</v>
      </c>
      <c r="Q1307" s="765">
        <f>M1307+I1307</f>
        <v>1357200</v>
      </c>
      <c r="R1307" s="766" t="e">
        <f>Q1307/P1307</f>
        <v>#DIV/0!</v>
      </c>
      <c r="S1307" s="765">
        <f>P1307-Q1307</f>
        <v>-1357200</v>
      </c>
      <c r="T1307" s="84"/>
      <c r="V1307" s="84"/>
      <c r="W1307" s="84"/>
      <c r="Y1307" s="834">
        <v>195000</v>
      </c>
      <c r="Z1307" s="830">
        <f>H1307-X1307+Y1307</f>
        <v>195000</v>
      </c>
      <c r="AA1307" s="831">
        <v>2160000</v>
      </c>
      <c r="AB1307" s="84">
        <f t="shared" si="241"/>
        <v>-1965000</v>
      </c>
      <c r="AE1307" s="84">
        <f>H1307-AA1307</f>
        <v>-2160000</v>
      </c>
    </row>
    <row r="1308" spans="1:31" hidden="1" x14ac:dyDescent="0.25">
      <c r="A1308" s="84"/>
      <c r="B1308" s="84"/>
      <c r="E1308" s="784"/>
      <c r="F1308" s="785"/>
      <c r="G1308" s="786" t="s">
        <v>5171</v>
      </c>
      <c r="H1308" s="787"/>
      <c r="I1308" s="787"/>
      <c r="J1308" s="788"/>
      <c r="K1308" s="787"/>
      <c r="L1308" s="789"/>
      <c r="M1308" s="789"/>
      <c r="N1308" s="790"/>
      <c r="O1308" s="789"/>
      <c r="P1308" s="789"/>
      <c r="Q1308" s="789"/>
      <c r="R1308" s="790"/>
      <c r="S1308" s="877"/>
      <c r="T1308" s="84"/>
      <c r="V1308" s="84"/>
      <c r="W1308" s="84"/>
      <c r="AB1308" s="84">
        <f t="shared" si="241"/>
        <v>0</v>
      </c>
    </row>
    <row r="1309" spans="1:31" hidden="1" x14ac:dyDescent="0.25">
      <c r="A1309" s="84"/>
      <c r="B1309" s="84"/>
      <c r="E1309" s="791"/>
      <c r="F1309" s="792" t="s">
        <v>235</v>
      </c>
      <c r="G1309" s="793" t="s">
        <v>236</v>
      </c>
      <c r="H1309" s="794">
        <f>SUM(H1307)</f>
        <v>0</v>
      </c>
      <c r="I1309" s="794">
        <f>SUM(I1307)</f>
        <v>1357200</v>
      </c>
      <c r="J1309" s="795" t="e">
        <f>I1309/H1309</f>
        <v>#DIV/0!</v>
      </c>
      <c r="K1309" s="794">
        <f>SUM(K1307)</f>
        <v>-1357200</v>
      </c>
      <c r="L1309" s="796">
        <v>0</v>
      </c>
      <c r="M1309" s="796">
        <v>0</v>
      </c>
      <c r="N1309" s="797"/>
      <c r="O1309" s="796">
        <f>L1309-M1309</f>
        <v>0</v>
      </c>
      <c r="P1309" s="796">
        <f t="shared" ref="P1309:Q1311" si="248">L1309+H1309</f>
        <v>0</v>
      </c>
      <c r="Q1309" s="796">
        <f t="shared" si="248"/>
        <v>1357200</v>
      </c>
      <c r="R1309" s="797" t="e">
        <f>Q1309/P1309</f>
        <v>#DIV/0!</v>
      </c>
      <c r="S1309" s="796">
        <f>P1309-Q1309</f>
        <v>-1357200</v>
      </c>
      <c r="T1309" s="84"/>
      <c r="V1309" s="84"/>
      <c r="W1309" s="84"/>
      <c r="AB1309" s="84">
        <f t="shared" si="241"/>
        <v>0</v>
      </c>
    </row>
    <row r="1310" spans="1:31" ht="15.75" hidden="1" thickBot="1" x14ac:dyDescent="0.3">
      <c r="A1310" s="84"/>
      <c r="B1310" s="84"/>
      <c r="E1310" s="791"/>
      <c r="F1310" s="792">
        <v>10</v>
      </c>
      <c r="G1310" s="793" t="s">
        <v>13</v>
      </c>
      <c r="H1310" s="794">
        <v>0</v>
      </c>
      <c r="I1310" s="794">
        <v>0</v>
      </c>
      <c r="J1310" s="795"/>
      <c r="K1310" s="794">
        <v>0</v>
      </c>
      <c r="L1310" s="796">
        <f>L1307</f>
        <v>0</v>
      </c>
      <c r="M1310" s="796">
        <f>M1307</f>
        <v>0</v>
      </c>
      <c r="N1310" s="797" t="e">
        <f>M1310/L1310</f>
        <v>#DIV/0!</v>
      </c>
      <c r="O1310" s="796">
        <f>L1310-M1310</f>
        <v>0</v>
      </c>
      <c r="P1310" s="796">
        <f t="shared" si="248"/>
        <v>0</v>
      </c>
      <c r="Q1310" s="796">
        <f t="shared" si="248"/>
        <v>0</v>
      </c>
      <c r="R1310" s="797" t="e">
        <f>Q1310/P1310</f>
        <v>#DIV/0!</v>
      </c>
      <c r="S1310" s="796">
        <f>P1310-Q1310</f>
        <v>0</v>
      </c>
      <c r="T1310" s="84"/>
      <c r="V1310" s="84"/>
      <c r="W1310" s="84"/>
      <c r="AB1310" s="84">
        <f t="shared" si="241"/>
        <v>0</v>
      </c>
    </row>
    <row r="1311" spans="1:31" ht="15.75" hidden="1" thickBot="1" x14ac:dyDescent="0.3">
      <c r="A1311" s="84"/>
      <c r="B1311" s="84"/>
      <c r="G1311" s="798" t="s">
        <v>5172</v>
      </c>
      <c r="H1311" s="799">
        <f>SUM(H1309:H1310)</f>
        <v>0</v>
      </c>
      <c r="I1311" s="799">
        <f>SUM(I1309:I1310)</f>
        <v>1357200</v>
      </c>
      <c r="J1311" s="800" t="e">
        <f>I1311/H1311</f>
        <v>#DIV/0!</v>
      </c>
      <c r="K1311" s="799">
        <f>SUM(K1309)</f>
        <v>-1357200</v>
      </c>
      <c r="L1311" s="801">
        <f>SUM(L1309:L1310)</f>
        <v>0</v>
      </c>
      <c r="M1311" s="801">
        <f>SUM(M1309:M1310)</f>
        <v>0</v>
      </c>
      <c r="N1311" s="802" t="e">
        <f>M1311/L1311</f>
        <v>#DIV/0!</v>
      </c>
      <c r="O1311" s="801">
        <f>L1311-M1311</f>
        <v>0</v>
      </c>
      <c r="P1311" s="801">
        <f t="shared" si="248"/>
        <v>0</v>
      </c>
      <c r="Q1311" s="801">
        <f t="shared" si="248"/>
        <v>1357200</v>
      </c>
      <c r="R1311" s="802" t="e">
        <f>Q1311/P1311</f>
        <v>#DIV/0!</v>
      </c>
      <c r="S1311" s="801">
        <f>P1311-Q1311</f>
        <v>-1357200</v>
      </c>
      <c r="T1311" s="84"/>
      <c r="V1311" s="84"/>
      <c r="W1311" s="84"/>
      <c r="AB1311" s="84">
        <f t="shared" si="241"/>
        <v>0</v>
      </c>
    </row>
    <row r="1312" spans="1:31" hidden="1" collapsed="1" x14ac:dyDescent="0.25">
      <c r="A1312" s="84"/>
      <c r="B1312" s="84"/>
      <c r="E1312" s="784"/>
      <c r="F1312" s="785"/>
      <c r="G1312" s="803" t="s">
        <v>5170</v>
      </c>
      <c r="H1312" s="804"/>
      <c r="I1312" s="805"/>
      <c r="J1312" s="806"/>
      <c r="K1312" s="805"/>
      <c r="L1312" s="807"/>
      <c r="M1312" s="808"/>
      <c r="N1312" s="809"/>
      <c r="O1312" s="808"/>
      <c r="P1312" s="808"/>
      <c r="Q1312" s="808"/>
      <c r="R1312" s="809"/>
      <c r="S1312" s="878"/>
      <c r="T1312" s="84"/>
      <c r="V1312" s="84"/>
      <c r="W1312" s="84"/>
      <c r="AB1312" s="84">
        <f t="shared" si="241"/>
        <v>0</v>
      </c>
    </row>
    <row r="1313" spans="1:28" hidden="1" x14ac:dyDescent="0.25">
      <c r="A1313" s="84"/>
      <c r="B1313" s="84"/>
      <c r="E1313" s="791"/>
      <c r="F1313" s="792" t="s">
        <v>235</v>
      </c>
      <c r="G1313" s="793" t="s">
        <v>236</v>
      </c>
      <c r="H1313" s="794">
        <f>H1309</f>
        <v>0</v>
      </c>
      <c r="I1313" s="794">
        <f t="shared" ref="I1313:S1313" si="249">I1309</f>
        <v>1357200</v>
      </c>
      <c r="J1313" s="795" t="e">
        <f t="shared" si="249"/>
        <v>#DIV/0!</v>
      </c>
      <c r="K1313" s="794">
        <f t="shared" si="249"/>
        <v>-1357200</v>
      </c>
      <c r="L1313" s="796">
        <f t="shared" si="249"/>
        <v>0</v>
      </c>
      <c r="M1313" s="796">
        <f t="shared" si="249"/>
        <v>0</v>
      </c>
      <c r="N1313" s="797">
        <f t="shared" si="249"/>
        <v>0</v>
      </c>
      <c r="O1313" s="796">
        <f t="shared" si="249"/>
        <v>0</v>
      </c>
      <c r="P1313" s="796">
        <f t="shared" si="249"/>
        <v>0</v>
      </c>
      <c r="Q1313" s="796">
        <f t="shared" si="249"/>
        <v>1357200</v>
      </c>
      <c r="R1313" s="797" t="e">
        <f t="shared" si="249"/>
        <v>#DIV/0!</v>
      </c>
      <c r="S1313" s="796">
        <f t="shared" si="249"/>
        <v>-1357200</v>
      </c>
      <c r="T1313" s="84"/>
      <c r="V1313" s="84"/>
      <c r="W1313" s="84"/>
      <c r="AB1313" s="84">
        <f t="shared" si="241"/>
        <v>0</v>
      </c>
    </row>
    <row r="1314" spans="1:28" ht="15.75" hidden="1" thickBot="1" x14ac:dyDescent="0.3">
      <c r="A1314" s="84"/>
      <c r="B1314" s="84"/>
      <c r="E1314" s="791"/>
      <c r="F1314" s="792">
        <v>10</v>
      </c>
      <c r="G1314" s="793" t="s">
        <v>13</v>
      </c>
      <c r="H1314" s="794">
        <f>H1310</f>
        <v>0</v>
      </c>
      <c r="I1314" s="794">
        <f t="shared" ref="I1314:S1314" si="250">I1310</f>
        <v>0</v>
      </c>
      <c r="J1314" s="795">
        <f t="shared" si="250"/>
        <v>0</v>
      </c>
      <c r="K1314" s="794">
        <f t="shared" si="250"/>
        <v>0</v>
      </c>
      <c r="L1314" s="796">
        <f t="shared" si="250"/>
        <v>0</v>
      </c>
      <c r="M1314" s="796">
        <f t="shared" si="250"/>
        <v>0</v>
      </c>
      <c r="N1314" s="797" t="e">
        <f t="shared" si="250"/>
        <v>#DIV/0!</v>
      </c>
      <c r="O1314" s="796">
        <f t="shared" si="250"/>
        <v>0</v>
      </c>
      <c r="P1314" s="796">
        <f t="shared" si="250"/>
        <v>0</v>
      </c>
      <c r="Q1314" s="796">
        <f t="shared" si="250"/>
        <v>0</v>
      </c>
      <c r="R1314" s="797" t="e">
        <f t="shared" si="250"/>
        <v>#DIV/0!</v>
      </c>
      <c r="S1314" s="796">
        <f t="shared" si="250"/>
        <v>0</v>
      </c>
      <c r="T1314" s="84"/>
      <c r="V1314" s="84"/>
      <c r="W1314" s="84"/>
      <c r="AB1314" s="84">
        <f t="shared" si="241"/>
        <v>0</v>
      </c>
    </row>
    <row r="1315" spans="1:28" ht="15.75" hidden="1" collapsed="1" thickBot="1" x14ac:dyDescent="0.3">
      <c r="A1315" s="84"/>
      <c r="B1315" s="84"/>
      <c r="G1315" s="798" t="s">
        <v>5169</v>
      </c>
      <c r="H1315" s="799">
        <f>SUM(H1313:H1314)</f>
        <v>0</v>
      </c>
      <c r="I1315" s="799">
        <f>SUM(I1313:I1314)</f>
        <v>1357200</v>
      </c>
      <c r="J1315" s="800" t="e">
        <f>I1315/H1315</f>
        <v>#DIV/0!</v>
      </c>
      <c r="K1315" s="799">
        <f>H1315-I1315</f>
        <v>-1357200</v>
      </c>
      <c r="L1315" s="801">
        <f>SUM(L1313:L1314)</f>
        <v>0</v>
      </c>
      <c r="M1315" s="801">
        <f>SUM(M1313:M1314)</f>
        <v>0</v>
      </c>
      <c r="N1315" s="802" t="e">
        <f>M1315/L1315</f>
        <v>#DIV/0!</v>
      </c>
      <c r="O1315" s="801">
        <f>L1315-M1315</f>
        <v>0</v>
      </c>
      <c r="P1315" s="801">
        <f>L1315+H1315</f>
        <v>0</v>
      </c>
      <c r="Q1315" s="801">
        <f>M1315+I1315</f>
        <v>1357200</v>
      </c>
      <c r="R1315" s="802" t="e">
        <f>Q1315/P1315</f>
        <v>#DIV/0!</v>
      </c>
      <c r="S1315" s="801">
        <f>P1315-Q1315</f>
        <v>-1357200</v>
      </c>
      <c r="T1315" s="84"/>
      <c r="V1315" s="84"/>
      <c r="W1315" s="84"/>
      <c r="AB1315" s="84">
        <f t="shared" si="241"/>
        <v>0</v>
      </c>
    </row>
    <row r="1316" spans="1:28" hidden="1" x14ac:dyDescent="0.25">
      <c r="A1316" s="84"/>
      <c r="B1316" s="84"/>
      <c r="G1316" s="811"/>
      <c r="H1316" s="812"/>
      <c r="I1316" s="812"/>
      <c r="J1316" s="813"/>
      <c r="K1316" s="812"/>
      <c r="L1316" s="814"/>
      <c r="M1316" s="814"/>
      <c r="N1316" s="815"/>
      <c r="O1316" s="814"/>
      <c r="P1316" s="814"/>
      <c r="Q1316" s="814"/>
      <c r="R1316" s="815"/>
      <c r="S1316" s="814"/>
      <c r="T1316" s="84"/>
      <c r="V1316" s="84"/>
      <c r="W1316" s="84"/>
      <c r="AB1316" s="84">
        <f t="shared" si="241"/>
        <v>0</v>
      </c>
    </row>
    <row r="1317" spans="1:28" hidden="1" x14ac:dyDescent="0.25">
      <c r="A1317" s="84"/>
      <c r="B1317" s="84"/>
      <c r="E1317" s="784"/>
      <c r="F1317" s="785"/>
      <c r="G1317" s="821" t="s">
        <v>4997</v>
      </c>
      <c r="H1317" s="822"/>
      <c r="I1317" s="822"/>
      <c r="J1317" s="823"/>
      <c r="K1317" s="822"/>
      <c r="L1317" s="824"/>
      <c r="M1317" s="824"/>
      <c r="N1317" s="825"/>
      <c r="O1317" s="824"/>
      <c r="P1317" s="824"/>
      <c r="Q1317" s="824"/>
      <c r="R1317" s="825"/>
      <c r="S1317" s="880"/>
      <c r="T1317" s="84"/>
      <c r="V1317" s="84"/>
      <c r="W1317" s="84"/>
      <c r="AB1317" s="84">
        <f t="shared" si="241"/>
        <v>0</v>
      </c>
    </row>
    <row r="1318" spans="1:28" hidden="1" x14ac:dyDescent="0.25">
      <c r="A1318" s="84"/>
      <c r="B1318" s="84"/>
      <c r="E1318" s="791"/>
      <c r="F1318" s="792" t="s">
        <v>235</v>
      </c>
      <c r="G1318" s="793" t="s">
        <v>236</v>
      </c>
      <c r="H1318" s="794">
        <f>H1313</f>
        <v>0</v>
      </c>
      <c r="I1318" s="794">
        <f t="shared" ref="I1318:S1318" si="251">I1313</f>
        <v>1357200</v>
      </c>
      <c r="J1318" s="795" t="e">
        <f t="shared" si="251"/>
        <v>#DIV/0!</v>
      </c>
      <c r="K1318" s="794">
        <f t="shared" si="251"/>
        <v>-1357200</v>
      </c>
      <c r="L1318" s="796">
        <f t="shared" si="251"/>
        <v>0</v>
      </c>
      <c r="M1318" s="796">
        <f t="shared" si="251"/>
        <v>0</v>
      </c>
      <c r="N1318" s="797">
        <f t="shared" si="251"/>
        <v>0</v>
      </c>
      <c r="O1318" s="796">
        <f t="shared" si="251"/>
        <v>0</v>
      </c>
      <c r="P1318" s="796">
        <f t="shared" si="251"/>
        <v>0</v>
      </c>
      <c r="Q1318" s="796">
        <f t="shared" si="251"/>
        <v>1357200</v>
      </c>
      <c r="R1318" s="797" t="e">
        <f t="shared" si="251"/>
        <v>#DIV/0!</v>
      </c>
      <c r="S1318" s="796">
        <f t="shared" si="251"/>
        <v>-1357200</v>
      </c>
      <c r="T1318" s="84"/>
      <c r="V1318" s="84"/>
      <c r="W1318" s="84"/>
      <c r="AB1318" s="84">
        <f t="shared" si="241"/>
        <v>0</v>
      </c>
    </row>
    <row r="1319" spans="1:28" ht="15.75" hidden="1" thickBot="1" x14ac:dyDescent="0.3">
      <c r="A1319" s="84"/>
      <c r="B1319" s="84"/>
      <c r="E1319" s="791"/>
      <c r="F1319" s="792">
        <v>10</v>
      </c>
      <c r="G1319" s="793" t="s">
        <v>13</v>
      </c>
      <c r="H1319" s="794">
        <f>H1314</f>
        <v>0</v>
      </c>
      <c r="I1319" s="794">
        <f t="shared" ref="I1319:S1319" si="252">I1314</f>
        <v>0</v>
      </c>
      <c r="J1319" s="795">
        <f t="shared" si="252"/>
        <v>0</v>
      </c>
      <c r="K1319" s="794">
        <f t="shared" si="252"/>
        <v>0</v>
      </c>
      <c r="L1319" s="796">
        <f t="shared" si="252"/>
        <v>0</v>
      </c>
      <c r="M1319" s="796">
        <f t="shared" si="252"/>
        <v>0</v>
      </c>
      <c r="N1319" s="797" t="e">
        <f t="shared" si="252"/>
        <v>#DIV/0!</v>
      </c>
      <c r="O1319" s="796">
        <f t="shared" si="252"/>
        <v>0</v>
      </c>
      <c r="P1319" s="796">
        <f t="shared" si="252"/>
        <v>0</v>
      </c>
      <c r="Q1319" s="796">
        <f t="shared" si="252"/>
        <v>0</v>
      </c>
      <c r="R1319" s="797" t="e">
        <f t="shared" si="252"/>
        <v>#DIV/0!</v>
      </c>
      <c r="S1319" s="796">
        <f t="shared" si="252"/>
        <v>0</v>
      </c>
      <c r="T1319" s="84"/>
      <c r="V1319" s="84"/>
      <c r="W1319" s="84"/>
      <c r="AB1319" s="84">
        <f t="shared" si="241"/>
        <v>0</v>
      </c>
    </row>
    <row r="1320" spans="1:28" ht="15.75" hidden="1" thickBot="1" x14ac:dyDescent="0.3">
      <c r="A1320" s="84"/>
      <c r="B1320" s="84"/>
      <c r="G1320" s="798" t="s">
        <v>4998</v>
      </c>
      <c r="H1320" s="799">
        <f>H1315</f>
        <v>0</v>
      </c>
      <c r="I1320" s="799">
        <f t="shared" ref="I1320:S1320" si="253">I1315</f>
        <v>1357200</v>
      </c>
      <c r="J1320" s="800" t="e">
        <f t="shared" si="253"/>
        <v>#DIV/0!</v>
      </c>
      <c r="K1320" s="799">
        <f t="shared" si="253"/>
        <v>-1357200</v>
      </c>
      <c r="L1320" s="801">
        <f t="shared" si="253"/>
        <v>0</v>
      </c>
      <c r="M1320" s="801">
        <f t="shared" si="253"/>
        <v>0</v>
      </c>
      <c r="N1320" s="802" t="e">
        <f t="shared" si="253"/>
        <v>#DIV/0!</v>
      </c>
      <c r="O1320" s="801">
        <f t="shared" si="253"/>
        <v>0</v>
      </c>
      <c r="P1320" s="801">
        <f t="shared" si="253"/>
        <v>0</v>
      </c>
      <c r="Q1320" s="801">
        <f t="shared" si="253"/>
        <v>1357200</v>
      </c>
      <c r="R1320" s="802" t="e">
        <f t="shared" si="253"/>
        <v>#DIV/0!</v>
      </c>
      <c r="S1320" s="801">
        <f t="shared" si="253"/>
        <v>-1357200</v>
      </c>
      <c r="T1320" s="84"/>
      <c r="V1320" s="84"/>
      <c r="W1320" s="84"/>
      <c r="AB1320" s="84">
        <f t="shared" si="241"/>
        <v>0</v>
      </c>
    </row>
    <row r="1321" spans="1:28" hidden="1" x14ac:dyDescent="0.25">
      <c r="A1321" s="84"/>
      <c r="B1321" s="84"/>
      <c r="G1321" s="811"/>
      <c r="H1321" s="812"/>
      <c r="I1321" s="812"/>
      <c r="J1321" s="813"/>
      <c r="K1321" s="812"/>
      <c r="L1321" s="814"/>
      <c r="M1321" s="814"/>
      <c r="N1321" s="815"/>
      <c r="O1321" s="814"/>
      <c r="P1321" s="814"/>
      <c r="Q1321" s="814"/>
      <c r="R1321" s="815"/>
      <c r="S1321" s="814"/>
      <c r="T1321" s="84"/>
      <c r="V1321" s="84"/>
      <c r="W1321" s="84"/>
      <c r="AB1321" s="84">
        <f t="shared" si="241"/>
        <v>0</v>
      </c>
    </row>
    <row r="1322" spans="1:28" s="204" customFormat="1" ht="15" hidden="1" customHeight="1" x14ac:dyDescent="0.25">
      <c r="A1322" s="881"/>
      <c r="B1322" s="882"/>
      <c r="C1322" s="901"/>
      <c r="D1322" s="1003"/>
      <c r="E1322" s="1004"/>
      <c r="F1322" s="1017"/>
      <c r="G1322" s="1018" t="s">
        <v>5333</v>
      </c>
      <c r="H1322" s="978"/>
      <c r="I1322" s="978"/>
      <c r="J1322" s="979"/>
      <c r="K1322" s="978"/>
      <c r="L1322" s="891"/>
      <c r="M1322" s="891"/>
      <c r="N1322" s="980"/>
      <c r="O1322" s="891"/>
      <c r="P1322" s="891"/>
      <c r="Q1322" s="891"/>
      <c r="R1322" s="980"/>
      <c r="S1322" s="978"/>
      <c r="T1322" s="873"/>
      <c r="V1322" s="892"/>
      <c r="W1322" s="892"/>
      <c r="X1322" s="833"/>
      <c r="Y1322" s="834"/>
      <c r="Z1322" s="830"/>
      <c r="AA1322" s="831"/>
      <c r="AB1322" s="204">
        <f t="shared" si="241"/>
        <v>0</v>
      </c>
    </row>
    <row r="1323" spans="1:28" s="204" customFormat="1" ht="15" hidden="1" customHeight="1" x14ac:dyDescent="0.25">
      <c r="A1323" s="881"/>
      <c r="B1323" s="882"/>
      <c r="C1323" s="901"/>
      <c r="D1323" s="1003"/>
      <c r="E1323" s="1004"/>
      <c r="F1323" s="1019" t="s">
        <v>235</v>
      </c>
      <c r="G1323" s="1020" t="s">
        <v>236</v>
      </c>
      <c r="H1323" s="887">
        <f>H1318+H1300+H1274+H1249+H1211+H1114+H1089+H1064+H1033+H1005+H825+H769+H465+H515</f>
        <v>331580844.81</v>
      </c>
      <c r="I1323" s="887" t="e">
        <f>I1318+I1300+I1274+I1249+I1211+I1114+I1089+I1064+I1033+I1005+I825+I769+I465+I515</f>
        <v>#REF!</v>
      </c>
      <c r="J1323" s="888" t="e">
        <f>I1323/H1323</f>
        <v>#REF!</v>
      </c>
      <c r="K1323" s="887" t="e">
        <f>K1318+K1300+K1274+K1249+K1211+K1114+K1089+K1064+K1033+K1005+K825+K769+K465+K515</f>
        <v>#REF!</v>
      </c>
      <c r="L1323" s="918">
        <v>0</v>
      </c>
      <c r="M1323" s="918">
        <v>0</v>
      </c>
      <c r="N1323" s="919"/>
      <c r="O1323" s="918">
        <v>0</v>
      </c>
      <c r="P1323" s="918">
        <f>L1323+H1323</f>
        <v>331580844.81</v>
      </c>
      <c r="Q1323" s="918" t="e">
        <f>M1323+I1323</f>
        <v>#REF!</v>
      </c>
      <c r="R1323" s="919" t="e">
        <f>Q1323/P1323</f>
        <v>#REF!</v>
      </c>
      <c r="S1323" s="918" t="e">
        <f>P1323-Q1323</f>
        <v>#REF!</v>
      </c>
      <c r="T1323" s="873"/>
      <c r="V1323" s="892"/>
      <c r="W1323" s="892"/>
      <c r="X1323" s="833"/>
      <c r="Y1323" s="834"/>
      <c r="Z1323" s="830"/>
      <c r="AA1323" s="831"/>
      <c r="AB1323" s="204">
        <f t="shared" si="241"/>
        <v>0</v>
      </c>
    </row>
    <row r="1324" spans="1:28" s="204" customFormat="1" ht="15" hidden="1" customHeight="1" x14ac:dyDescent="0.25">
      <c r="A1324" s="881"/>
      <c r="B1324" s="882"/>
      <c r="C1324" s="901"/>
      <c r="D1324" s="1003"/>
      <c r="E1324" s="1004"/>
      <c r="F1324" s="1021" t="s">
        <v>245</v>
      </c>
      <c r="G1324" s="1020" t="s">
        <v>246</v>
      </c>
      <c r="H1324" s="887">
        <f>H1213</f>
        <v>0</v>
      </c>
      <c r="I1324" s="887">
        <f>I1213</f>
        <v>0</v>
      </c>
      <c r="J1324" s="888"/>
      <c r="K1324" s="887">
        <f t="shared" ref="K1324:R1324" si="254">K1213</f>
        <v>0</v>
      </c>
      <c r="L1324" s="918">
        <f t="shared" si="254"/>
        <v>7900000</v>
      </c>
      <c r="M1324" s="918">
        <f t="shared" si="254"/>
        <v>5499097.21</v>
      </c>
      <c r="N1324" s="919">
        <f t="shared" si="254"/>
        <v>0.69608825443037969</v>
      </c>
      <c r="O1324" s="918">
        <f t="shared" si="254"/>
        <v>2400902.79</v>
      </c>
      <c r="P1324" s="918">
        <f t="shared" si="254"/>
        <v>7900000</v>
      </c>
      <c r="Q1324" s="918">
        <f t="shared" si="254"/>
        <v>5499097.21</v>
      </c>
      <c r="R1324" s="919">
        <f t="shared" si="254"/>
        <v>0.69608825443037969</v>
      </c>
      <c r="S1324" s="918">
        <f>P1324-Q1324</f>
        <v>2400902.79</v>
      </c>
      <c r="T1324" s="873"/>
      <c r="V1324" s="892"/>
      <c r="W1324" s="892"/>
      <c r="X1324" s="833"/>
      <c r="Y1324" s="834"/>
      <c r="Z1324" s="830"/>
      <c r="AA1324" s="831"/>
      <c r="AB1324" s="204">
        <f t="shared" si="241"/>
        <v>0</v>
      </c>
    </row>
    <row r="1325" spans="1:28" s="204" customFormat="1" ht="15" hidden="1" customHeight="1" x14ac:dyDescent="0.25">
      <c r="A1325" s="881"/>
      <c r="B1325" s="882"/>
      <c r="C1325" s="901"/>
      <c r="D1325" s="1003"/>
      <c r="E1325" s="1004"/>
      <c r="F1325" s="1022" t="s">
        <v>247</v>
      </c>
      <c r="G1325" s="1023" t="s">
        <v>4745</v>
      </c>
      <c r="H1325" s="887">
        <f>H1212</f>
        <v>0</v>
      </c>
      <c r="I1325" s="887">
        <f>I1212</f>
        <v>0</v>
      </c>
      <c r="J1325" s="888"/>
      <c r="K1325" s="887">
        <f>K1212</f>
        <v>0</v>
      </c>
      <c r="L1325" s="918">
        <f>L1212+L466+L1006+L516</f>
        <v>64754118.390000001</v>
      </c>
      <c r="M1325" s="918">
        <f>M1212+M466</f>
        <v>6752714.5</v>
      </c>
      <c r="N1325" s="919">
        <f>N1212</f>
        <v>0.20813085714285715</v>
      </c>
      <c r="O1325" s="918">
        <f>O1212+O466</f>
        <v>10747285.5</v>
      </c>
      <c r="P1325" s="918">
        <f>L1325</f>
        <v>64754118.390000001</v>
      </c>
      <c r="Q1325" s="918">
        <f>M1325</f>
        <v>6752714.5</v>
      </c>
      <c r="R1325" s="919">
        <f>R1212</f>
        <v>0.20813085714285715</v>
      </c>
      <c r="S1325" s="918">
        <f>P1325-Q1325</f>
        <v>58001403.890000001</v>
      </c>
      <c r="T1325" s="873"/>
      <c r="V1325" s="892"/>
      <c r="W1325" s="892"/>
      <c r="X1325" s="833"/>
      <c r="Y1325" s="834"/>
      <c r="Z1325" s="830"/>
      <c r="AA1325" s="831"/>
      <c r="AB1325" s="204">
        <f t="shared" si="241"/>
        <v>0</v>
      </c>
    </row>
    <row r="1326" spans="1:28" s="204" customFormat="1" ht="15" hidden="1" customHeight="1" x14ac:dyDescent="0.25">
      <c r="A1326" s="881"/>
      <c r="B1326" s="882"/>
      <c r="C1326" s="901"/>
      <c r="D1326" s="1003"/>
      <c r="E1326" s="1004"/>
      <c r="F1326" s="1022" t="s">
        <v>249</v>
      </c>
      <c r="G1326" s="1023" t="s">
        <v>58</v>
      </c>
      <c r="H1326" s="887">
        <v>0</v>
      </c>
      <c r="I1326" s="887"/>
      <c r="J1326" s="888"/>
      <c r="K1326" s="887"/>
      <c r="L1326" s="918">
        <f>L777</f>
        <v>28427</v>
      </c>
      <c r="M1326" s="918"/>
      <c r="N1326" s="919"/>
      <c r="O1326" s="918"/>
      <c r="P1326" s="918">
        <f>SUM(H1326:L1326)</f>
        <v>28427</v>
      </c>
      <c r="Q1326" s="918"/>
      <c r="R1326" s="919"/>
      <c r="S1326" s="918"/>
      <c r="T1326" s="873"/>
      <c r="V1326" s="892"/>
      <c r="W1326" s="892"/>
      <c r="X1326" s="833"/>
      <c r="Y1326" s="834"/>
      <c r="Z1326" s="830"/>
      <c r="AA1326" s="831"/>
    </row>
    <row r="1327" spans="1:28" s="204" customFormat="1" ht="15" hidden="1" customHeight="1" x14ac:dyDescent="0.25">
      <c r="A1327" s="881"/>
      <c r="B1327" s="882"/>
      <c r="C1327" s="901"/>
      <c r="D1327" s="1003"/>
      <c r="E1327" s="1004"/>
      <c r="F1327" s="1019">
        <v>10</v>
      </c>
      <c r="G1327" s="1020" t="s">
        <v>5007</v>
      </c>
      <c r="H1327" s="887">
        <v>0</v>
      </c>
      <c r="I1327" s="887">
        <v>0</v>
      </c>
      <c r="J1327" s="888"/>
      <c r="K1327" s="887">
        <v>0</v>
      </c>
      <c r="L1327" s="918">
        <f>L1007+L467+L1301+L517+L826</f>
        <v>17529792</v>
      </c>
      <c r="M1327" s="918" t="e">
        <f>M1007+M467+M1301+M517</f>
        <v>#REF!</v>
      </c>
      <c r="N1327" s="919" t="e">
        <f>M1327/L1327</f>
        <v>#REF!</v>
      </c>
      <c r="O1327" s="918" t="e">
        <f>L1327-M1327</f>
        <v>#REF!</v>
      </c>
      <c r="P1327" s="918">
        <f>L1327+H1327</f>
        <v>17529792</v>
      </c>
      <c r="Q1327" s="918" t="e">
        <f>M1327+I1327</f>
        <v>#REF!</v>
      </c>
      <c r="R1327" s="919" t="e">
        <f>Q1327/P1327</f>
        <v>#REF!</v>
      </c>
      <c r="S1327" s="918" t="e">
        <f>P1327-Q1327</f>
        <v>#REF!</v>
      </c>
      <c r="T1327" s="873"/>
      <c r="V1327" s="892"/>
      <c r="W1327" s="892"/>
      <c r="X1327" s="833"/>
      <c r="Y1327" s="834"/>
      <c r="Z1327" s="830"/>
      <c r="AA1327" s="831"/>
      <c r="AB1327" s="204">
        <f t="shared" si="241"/>
        <v>0</v>
      </c>
    </row>
    <row r="1328" spans="1:28" s="204" customFormat="1" ht="15.75" hidden="1" customHeight="1" x14ac:dyDescent="0.25">
      <c r="A1328" s="881"/>
      <c r="B1328" s="882"/>
      <c r="C1328" s="901"/>
      <c r="D1328" s="1003"/>
      <c r="E1328" s="1004"/>
      <c r="F1328" s="1019">
        <v>13</v>
      </c>
      <c r="G1328" s="1020" t="s">
        <v>5019</v>
      </c>
      <c r="H1328" s="887">
        <v>0</v>
      </c>
      <c r="I1328" s="887">
        <v>0</v>
      </c>
      <c r="J1328" s="888"/>
      <c r="K1328" s="887">
        <v>0</v>
      </c>
      <c r="L1328" s="918">
        <f>L470+L1214+L781+L827</f>
        <v>1291120.1599999999</v>
      </c>
      <c r="M1328" s="918">
        <f>M470+M1214</f>
        <v>1902294.96</v>
      </c>
      <c r="N1328" s="919">
        <f>M1328/L1328</f>
        <v>1.4733678699587496</v>
      </c>
      <c r="O1328" s="918">
        <f>L1328-M1328</f>
        <v>-611174.80000000005</v>
      </c>
      <c r="P1328" s="918">
        <f>L1328+H1328</f>
        <v>1291120.1599999999</v>
      </c>
      <c r="Q1328" s="918">
        <f>M1328+I1328</f>
        <v>1902294.96</v>
      </c>
      <c r="R1328" s="919">
        <f>Q1328/P1328</f>
        <v>1.4733678699587496</v>
      </c>
      <c r="S1328" s="918">
        <f>P1328-Q1328</f>
        <v>-611174.80000000005</v>
      </c>
      <c r="T1328" s="873"/>
      <c r="V1328" s="892"/>
      <c r="W1328" s="892"/>
      <c r="X1328" s="833"/>
      <c r="Y1328" s="834"/>
      <c r="Z1328" s="830"/>
      <c r="AA1328" s="831"/>
      <c r="AB1328" s="204">
        <f t="shared" si="241"/>
        <v>0</v>
      </c>
    </row>
    <row r="1329" spans="1:31" s="204" customFormat="1" ht="15.75" hidden="1" customHeight="1" thickBot="1" x14ac:dyDescent="0.3">
      <c r="A1329" s="881"/>
      <c r="B1329" s="882"/>
      <c r="C1329" s="901"/>
      <c r="D1329" s="1003"/>
      <c r="E1329" s="1004"/>
      <c r="F1329" s="1019">
        <v>56</v>
      </c>
      <c r="G1329" s="1020" t="s">
        <v>5482</v>
      </c>
      <c r="H1329" s="887">
        <v>0</v>
      </c>
      <c r="I1329" s="887"/>
      <c r="J1329" s="888"/>
      <c r="K1329" s="887"/>
      <c r="L1329" s="918">
        <f>L774</f>
        <v>1610000</v>
      </c>
      <c r="M1329" s="918"/>
      <c r="N1329" s="919"/>
      <c r="O1329" s="918"/>
      <c r="P1329" s="918">
        <f>SUM(H1329:L1329)</f>
        <v>1610000</v>
      </c>
      <c r="Q1329" s="918"/>
      <c r="R1329" s="919"/>
      <c r="S1329" s="918"/>
      <c r="T1329" s="873"/>
      <c r="V1329" s="892"/>
      <c r="W1329" s="892"/>
      <c r="X1329" s="833"/>
      <c r="Y1329" s="834"/>
      <c r="Z1329" s="830"/>
      <c r="AA1329" s="831"/>
    </row>
    <row r="1330" spans="1:31" s="204" customFormat="1" ht="15.75" hidden="1" customHeight="1" thickBot="1" x14ac:dyDescent="0.3">
      <c r="A1330" s="881"/>
      <c r="B1330" s="882"/>
      <c r="C1330" s="901"/>
      <c r="D1330" s="1003"/>
      <c r="E1330" s="1004"/>
      <c r="F1330" s="884"/>
      <c r="G1330" s="920" t="s">
        <v>5334</v>
      </c>
      <c r="H1330" s="921">
        <f>SUM(H1323:H1329)</f>
        <v>331580844.81</v>
      </c>
      <c r="I1330" s="921" t="e">
        <f>SUM(I1323:I1327)</f>
        <v>#REF!</v>
      </c>
      <c r="J1330" s="922" t="e">
        <f>I1330/H1330</f>
        <v>#REF!</v>
      </c>
      <c r="K1330" s="921" t="e">
        <f>SUM(K1323:K1327)</f>
        <v>#REF!</v>
      </c>
      <c r="L1330" s="923">
        <f>SUM(L1323:L1329)</f>
        <v>93113457.549999997</v>
      </c>
      <c r="M1330" s="923" t="e">
        <f>SUM(M1323:M1328)</f>
        <v>#REF!</v>
      </c>
      <c r="N1330" s="924">
        <f>SUM(N1323)</f>
        <v>0</v>
      </c>
      <c r="O1330" s="923" t="e">
        <f>SUM(O1323:O1327)</f>
        <v>#REF!</v>
      </c>
      <c r="P1330" s="923">
        <f>SUM(P1323:P1329)</f>
        <v>424694302.36000001</v>
      </c>
      <c r="Q1330" s="923" t="e">
        <f>SUM(Q1323:Q1328)</f>
        <v>#REF!</v>
      </c>
      <c r="R1330" s="924" t="e">
        <f>Q1330/P1330</f>
        <v>#REF!</v>
      </c>
      <c r="S1330" s="923" t="e">
        <f>SUM(S1323:S1328)</f>
        <v>#REF!</v>
      </c>
      <c r="T1330" s="873"/>
      <c r="V1330" s="892"/>
      <c r="W1330" s="892"/>
      <c r="X1330" s="833"/>
      <c r="Y1330" s="834"/>
      <c r="Z1330" s="830"/>
      <c r="AA1330" s="831"/>
      <c r="AB1330" s="204">
        <f t="shared" si="241"/>
        <v>0</v>
      </c>
    </row>
    <row r="1331" spans="1:31" hidden="1" x14ac:dyDescent="0.25">
      <c r="G1331" s="811"/>
      <c r="H1331" s="812"/>
      <c r="I1331" s="812"/>
      <c r="J1331" s="813"/>
      <c r="K1331" s="812"/>
      <c r="L1331" s="814"/>
      <c r="M1331" s="814"/>
      <c r="N1331" s="815"/>
      <c r="O1331" s="814"/>
      <c r="P1331" s="814"/>
      <c r="Q1331" s="814"/>
      <c r="R1331" s="815"/>
      <c r="S1331" s="814"/>
      <c r="AB1331" s="84">
        <f t="shared" si="241"/>
        <v>0</v>
      </c>
    </row>
    <row r="1332" spans="1:31" hidden="1" x14ac:dyDescent="0.25">
      <c r="A1332" s="84"/>
      <c r="B1332" s="84"/>
      <c r="C1332" s="84"/>
      <c r="D1332" s="84"/>
      <c r="G1332" s="811"/>
      <c r="H1332" s="812"/>
      <c r="I1332" s="812"/>
      <c r="J1332" s="813"/>
      <c r="K1332" s="812"/>
      <c r="L1332" s="814"/>
      <c r="M1332" s="814"/>
      <c r="N1332" s="815"/>
      <c r="O1332" s="814"/>
      <c r="P1332" s="814"/>
      <c r="Q1332" s="814"/>
      <c r="R1332" s="815"/>
      <c r="S1332" s="814"/>
      <c r="T1332" s="84"/>
      <c r="AB1332" s="84">
        <f t="shared" si="241"/>
        <v>0</v>
      </c>
    </row>
    <row r="1333" spans="1:31" x14ac:dyDescent="0.25">
      <c r="A1333" s="953"/>
      <c r="B1333" s="954" t="s">
        <v>5176</v>
      </c>
      <c r="C1333" s="953"/>
      <c r="D1333" s="954"/>
      <c r="E1333" s="1024"/>
      <c r="F1333" s="1024"/>
      <c r="G1333" s="940" t="s">
        <v>4179</v>
      </c>
      <c r="H1333" s="957"/>
      <c r="I1333" s="957"/>
      <c r="J1333" s="958"/>
      <c r="K1333" s="957"/>
      <c r="L1333" s="1025"/>
      <c r="M1333" s="1025"/>
      <c r="N1333" s="1026"/>
      <c r="O1333" s="1025"/>
      <c r="P1333" s="1025"/>
      <c r="Q1333" s="1025"/>
      <c r="R1333" s="1026"/>
      <c r="S1333" s="1027"/>
      <c r="T1333" s="84"/>
      <c r="AB1333" s="84">
        <f t="shared" si="241"/>
        <v>0</v>
      </c>
    </row>
    <row r="1334" spans="1:31" x14ac:dyDescent="0.25">
      <c r="C1334" s="761" t="s">
        <v>3597</v>
      </c>
      <c r="G1334" s="869" t="s">
        <v>4180</v>
      </c>
      <c r="T1334" s="84"/>
      <c r="AB1334" s="84">
        <f t="shared" si="241"/>
        <v>0</v>
      </c>
    </row>
    <row r="1335" spans="1:31" ht="28.5" x14ac:dyDescent="0.25">
      <c r="C1335" s="761" t="s">
        <v>4077</v>
      </c>
      <c r="D1335" s="770"/>
      <c r="G1335" s="869" t="s">
        <v>4181</v>
      </c>
      <c r="T1335" s="84"/>
      <c r="AB1335" s="84">
        <f t="shared" si="241"/>
        <v>0</v>
      </c>
    </row>
    <row r="1336" spans="1:31" x14ac:dyDescent="0.25">
      <c r="C1336" s="761"/>
      <c r="D1336" s="778">
        <v>820</v>
      </c>
      <c r="E1336" s="779"/>
      <c r="F1336" s="778"/>
      <c r="G1336" s="780" t="s">
        <v>208</v>
      </c>
      <c r="T1336" s="84"/>
      <c r="AB1336" s="84">
        <f t="shared" si="241"/>
        <v>0</v>
      </c>
    </row>
    <row r="1337" spans="1:31" x14ac:dyDescent="0.25">
      <c r="A1337" s="84"/>
      <c r="B1337" s="84"/>
      <c r="C1337" s="84"/>
      <c r="D1337" s="84"/>
      <c r="E1337" s="760" t="s">
        <v>5255</v>
      </c>
      <c r="F1337" s="782">
        <v>411</v>
      </c>
      <c r="G1337" s="783" t="s">
        <v>4114</v>
      </c>
      <c r="H1337" s="763">
        <v>7086554</v>
      </c>
      <c r="I1337" s="763">
        <f>4507731.48+524549.53</f>
        <v>5032281.0100000007</v>
      </c>
      <c r="J1337" s="764">
        <f>I1337/H1337</f>
        <v>0.71011679442504783</v>
      </c>
      <c r="K1337" s="763">
        <f>H1337-I1337</f>
        <v>2054272.9899999993</v>
      </c>
      <c r="L1337" s="765">
        <v>0</v>
      </c>
      <c r="M1337" s="765">
        <v>0</v>
      </c>
      <c r="O1337" s="765">
        <f>L1337-M1337</f>
        <v>0</v>
      </c>
      <c r="P1337" s="765">
        <f>L1337+H1337</f>
        <v>7086554</v>
      </c>
      <c r="Q1337" s="765">
        <f>M1337+I1337</f>
        <v>5032281.0100000007</v>
      </c>
      <c r="R1337" s="766">
        <f>Q1337/P1337</f>
        <v>0.71011679442504783</v>
      </c>
      <c r="S1337" s="765">
        <f>P1337-Q1337</f>
        <v>2054272.9899999993</v>
      </c>
      <c r="T1337" s="84"/>
      <c r="Z1337" s="830">
        <f t="shared" ref="Z1337:Z1386" si="255">H1337-X1337+Y1337</f>
        <v>7086554</v>
      </c>
      <c r="AA1337" s="831">
        <v>6622948</v>
      </c>
      <c r="AB1337" s="84">
        <f t="shared" si="241"/>
        <v>463606</v>
      </c>
      <c r="AE1337" s="84">
        <f t="shared" ref="AE1337:AE1386" si="256">H1337-AA1337</f>
        <v>463606</v>
      </c>
    </row>
    <row r="1338" spans="1:31" x14ac:dyDescent="0.25">
      <c r="A1338" s="84"/>
      <c r="B1338" s="84"/>
      <c r="C1338" s="84"/>
      <c r="D1338" s="84"/>
      <c r="E1338" s="760" t="s">
        <v>5256</v>
      </c>
      <c r="F1338" s="782">
        <v>412</v>
      </c>
      <c r="G1338" s="783" t="s">
        <v>3768</v>
      </c>
      <c r="H1338" s="763">
        <v>1269136</v>
      </c>
      <c r="I1338" s="763">
        <f>816693.59+93412.2</f>
        <v>910105.78999999992</v>
      </c>
      <c r="J1338" s="764">
        <f t="shared" ref="J1338:J1386" si="257">I1338/H1338</f>
        <v>0.71710659062543325</v>
      </c>
      <c r="K1338" s="763">
        <f t="shared" ref="K1338:K1386" si="258">H1338-I1338</f>
        <v>359030.21000000008</v>
      </c>
      <c r="L1338" s="765">
        <v>0</v>
      </c>
      <c r="M1338" s="765">
        <v>0</v>
      </c>
      <c r="O1338" s="765">
        <f t="shared" ref="O1338:O1386" si="259">L1338-M1338</f>
        <v>0</v>
      </c>
      <c r="P1338" s="765">
        <f t="shared" ref="P1338:P1386" si="260">L1338+H1338</f>
        <v>1269136</v>
      </c>
      <c r="Q1338" s="765">
        <f t="shared" ref="Q1338:Q1386" si="261">M1338+I1338</f>
        <v>910105.78999999992</v>
      </c>
      <c r="R1338" s="766">
        <f t="shared" ref="R1338:R1386" si="262">Q1338/P1338</f>
        <v>0.71710659062543325</v>
      </c>
      <c r="S1338" s="765">
        <f t="shared" ref="S1338:S1386" si="263">P1338-Q1338</f>
        <v>359030.21000000008</v>
      </c>
      <c r="T1338" s="84"/>
      <c r="Z1338" s="830">
        <f t="shared" si="255"/>
        <v>1269136</v>
      </c>
      <c r="AA1338" s="831">
        <v>1186108</v>
      </c>
      <c r="AB1338" s="84">
        <f t="shared" si="241"/>
        <v>83028</v>
      </c>
      <c r="AE1338" s="84">
        <f t="shared" si="256"/>
        <v>83028</v>
      </c>
    </row>
    <row r="1339" spans="1:31" hidden="1" x14ac:dyDescent="0.25">
      <c r="A1339" s="84"/>
      <c r="B1339" s="84"/>
      <c r="C1339" s="84"/>
      <c r="D1339" s="84"/>
      <c r="F1339" s="782">
        <v>413</v>
      </c>
      <c r="G1339" s="783" t="s">
        <v>4115</v>
      </c>
      <c r="H1339" s="763">
        <v>0</v>
      </c>
      <c r="I1339" s="763">
        <v>0</v>
      </c>
      <c r="J1339" s="764" t="e">
        <f t="shared" si="257"/>
        <v>#DIV/0!</v>
      </c>
      <c r="K1339" s="763">
        <f t="shared" si="258"/>
        <v>0</v>
      </c>
      <c r="L1339" s="765">
        <v>0</v>
      </c>
      <c r="M1339" s="765">
        <v>0</v>
      </c>
      <c r="O1339" s="765">
        <f t="shared" si="259"/>
        <v>0</v>
      </c>
      <c r="P1339" s="765">
        <f t="shared" si="260"/>
        <v>0</v>
      </c>
      <c r="Q1339" s="765">
        <f t="shared" si="261"/>
        <v>0</v>
      </c>
      <c r="R1339" s="766" t="e">
        <f t="shared" si="262"/>
        <v>#DIV/0!</v>
      </c>
      <c r="S1339" s="765">
        <f t="shared" si="263"/>
        <v>0</v>
      </c>
      <c r="T1339" s="84"/>
      <c r="Z1339" s="830">
        <f t="shared" si="255"/>
        <v>0</v>
      </c>
      <c r="AA1339" s="831">
        <v>0</v>
      </c>
      <c r="AB1339" s="84">
        <f t="shared" ref="AB1339:AB1402" si="264">Z1339-AA1339</f>
        <v>0</v>
      </c>
      <c r="AE1339" s="84">
        <f t="shared" si="256"/>
        <v>0</v>
      </c>
    </row>
    <row r="1340" spans="1:31" x14ac:dyDescent="0.25">
      <c r="A1340" s="84"/>
      <c r="B1340" s="84"/>
      <c r="C1340" s="84"/>
      <c r="D1340" s="84"/>
      <c r="E1340" s="760" t="s">
        <v>5257</v>
      </c>
      <c r="F1340" s="782">
        <v>414</v>
      </c>
      <c r="G1340" s="783" t="s">
        <v>3771</v>
      </c>
      <c r="H1340" s="763">
        <v>50000</v>
      </c>
      <c r="I1340" s="763">
        <v>0</v>
      </c>
      <c r="J1340" s="764">
        <f t="shared" si="257"/>
        <v>0</v>
      </c>
      <c r="K1340" s="763">
        <f>H1340-I1340</f>
        <v>50000</v>
      </c>
      <c r="L1340" s="889">
        <v>50000</v>
      </c>
      <c r="M1340" s="889">
        <v>0</v>
      </c>
      <c r="N1340" s="890">
        <f>M1340/L1340</f>
        <v>0</v>
      </c>
      <c r="O1340" s="889">
        <f t="shared" si="259"/>
        <v>50000</v>
      </c>
      <c r="P1340" s="889">
        <f t="shared" si="260"/>
        <v>100000</v>
      </c>
      <c r="Q1340" s="889">
        <f t="shared" si="261"/>
        <v>0</v>
      </c>
      <c r="R1340" s="890">
        <f t="shared" si="262"/>
        <v>0</v>
      </c>
      <c r="S1340" s="889">
        <f t="shared" si="263"/>
        <v>100000</v>
      </c>
      <c r="T1340" s="84"/>
      <c r="Z1340" s="830">
        <f t="shared" si="255"/>
        <v>50000</v>
      </c>
      <c r="AA1340" s="831">
        <v>50000</v>
      </c>
      <c r="AB1340" s="84">
        <f t="shared" si="264"/>
        <v>0</v>
      </c>
      <c r="AE1340" s="84">
        <f t="shared" si="256"/>
        <v>0</v>
      </c>
    </row>
    <row r="1341" spans="1:31" x14ac:dyDescent="0.25">
      <c r="A1341" s="84"/>
      <c r="B1341" s="84"/>
      <c r="C1341" s="84"/>
      <c r="D1341" s="84"/>
      <c r="E1341" s="760" t="s">
        <v>5258</v>
      </c>
      <c r="F1341" s="782">
        <v>415</v>
      </c>
      <c r="G1341" s="783" t="s">
        <v>4124</v>
      </c>
      <c r="H1341" s="763">
        <v>320000</v>
      </c>
      <c r="I1341" s="763">
        <f>193897.9+23556.33</f>
        <v>217454.22999999998</v>
      </c>
      <c r="J1341" s="764">
        <f t="shared" si="257"/>
        <v>0.67954446874999996</v>
      </c>
      <c r="K1341" s="763">
        <f t="shared" si="258"/>
        <v>102545.77000000002</v>
      </c>
      <c r="L1341" s="765">
        <v>0</v>
      </c>
      <c r="M1341" s="765">
        <v>0</v>
      </c>
      <c r="O1341" s="765">
        <f t="shared" si="259"/>
        <v>0</v>
      </c>
      <c r="P1341" s="765">
        <f t="shared" si="260"/>
        <v>320000</v>
      </c>
      <c r="Q1341" s="765">
        <f t="shared" si="261"/>
        <v>217454.22999999998</v>
      </c>
      <c r="R1341" s="766">
        <f t="shared" si="262"/>
        <v>0.67954446874999996</v>
      </c>
      <c r="S1341" s="765">
        <f t="shared" si="263"/>
        <v>102545.77000000002</v>
      </c>
      <c r="T1341" s="84"/>
      <c r="Z1341" s="830">
        <f t="shared" si="255"/>
        <v>320000</v>
      </c>
      <c r="AA1341" s="831">
        <v>335000</v>
      </c>
      <c r="AB1341" s="84">
        <f t="shared" si="264"/>
        <v>-15000</v>
      </c>
      <c r="AE1341" s="84">
        <f t="shared" si="256"/>
        <v>-15000</v>
      </c>
    </row>
    <row r="1342" spans="1:31" x14ac:dyDescent="0.25">
      <c r="A1342" s="84"/>
      <c r="B1342" s="84"/>
      <c r="C1342" s="84"/>
      <c r="D1342" s="84"/>
      <c r="E1342" s="760" t="s">
        <v>3881</v>
      </c>
      <c r="F1342" s="782">
        <v>416</v>
      </c>
      <c r="G1342" s="783" t="s">
        <v>4125</v>
      </c>
      <c r="H1342" s="763">
        <v>380000</v>
      </c>
      <c r="I1342" s="763">
        <v>0</v>
      </c>
      <c r="J1342" s="764">
        <f t="shared" si="257"/>
        <v>0</v>
      </c>
      <c r="K1342" s="763">
        <f t="shared" si="258"/>
        <v>380000</v>
      </c>
      <c r="L1342" s="765">
        <v>0</v>
      </c>
      <c r="M1342" s="765">
        <v>0</v>
      </c>
      <c r="O1342" s="765">
        <f t="shared" si="259"/>
        <v>0</v>
      </c>
      <c r="P1342" s="765">
        <f t="shared" si="260"/>
        <v>380000</v>
      </c>
      <c r="Q1342" s="765">
        <f t="shared" si="261"/>
        <v>0</v>
      </c>
      <c r="R1342" s="766">
        <f t="shared" si="262"/>
        <v>0</v>
      </c>
      <c r="S1342" s="765">
        <f t="shared" si="263"/>
        <v>380000</v>
      </c>
      <c r="T1342" s="84"/>
      <c r="Z1342" s="830">
        <f t="shared" si="255"/>
        <v>380000</v>
      </c>
      <c r="AA1342" s="831">
        <v>0</v>
      </c>
      <c r="AB1342" s="84">
        <f t="shared" si="264"/>
        <v>380000</v>
      </c>
      <c r="AE1342" s="84">
        <f t="shared" si="256"/>
        <v>380000</v>
      </c>
    </row>
    <row r="1343" spans="1:31" hidden="1" x14ac:dyDescent="0.25">
      <c r="A1343" s="84"/>
      <c r="B1343" s="84"/>
      <c r="C1343" s="84"/>
      <c r="D1343" s="84"/>
      <c r="F1343" s="782">
        <v>417</v>
      </c>
      <c r="G1343" s="783" t="s">
        <v>4126</v>
      </c>
      <c r="H1343" s="763">
        <v>0</v>
      </c>
      <c r="I1343" s="763">
        <v>0</v>
      </c>
      <c r="J1343" s="764" t="e">
        <f t="shared" si="257"/>
        <v>#DIV/0!</v>
      </c>
      <c r="K1343" s="763">
        <f t="shared" si="258"/>
        <v>0</v>
      </c>
      <c r="L1343" s="765">
        <v>0</v>
      </c>
      <c r="M1343" s="765">
        <v>0</v>
      </c>
      <c r="O1343" s="765">
        <f t="shared" si="259"/>
        <v>0</v>
      </c>
      <c r="P1343" s="765">
        <f t="shared" si="260"/>
        <v>0</v>
      </c>
      <c r="Q1343" s="765">
        <f t="shared" si="261"/>
        <v>0</v>
      </c>
      <c r="R1343" s="766" t="e">
        <f t="shared" si="262"/>
        <v>#DIV/0!</v>
      </c>
      <c r="S1343" s="765">
        <f t="shared" si="263"/>
        <v>0</v>
      </c>
      <c r="T1343" s="84"/>
      <c r="Z1343" s="830">
        <f t="shared" si="255"/>
        <v>0</v>
      </c>
      <c r="AA1343" s="831">
        <v>0</v>
      </c>
      <c r="AB1343" s="84">
        <f t="shared" si="264"/>
        <v>0</v>
      </c>
      <c r="AE1343" s="84">
        <f t="shared" si="256"/>
        <v>0</v>
      </c>
    </row>
    <row r="1344" spans="1:31" hidden="1" x14ac:dyDescent="0.25">
      <c r="A1344" s="84"/>
      <c r="B1344" s="84"/>
      <c r="C1344" s="84"/>
      <c r="D1344" s="84"/>
      <c r="F1344" s="782">
        <v>418</v>
      </c>
      <c r="G1344" s="783" t="s">
        <v>3777</v>
      </c>
      <c r="H1344" s="763">
        <v>0</v>
      </c>
      <c r="I1344" s="763">
        <v>0</v>
      </c>
      <c r="J1344" s="764" t="e">
        <f t="shared" si="257"/>
        <v>#DIV/0!</v>
      </c>
      <c r="K1344" s="763">
        <f t="shared" si="258"/>
        <v>0</v>
      </c>
      <c r="L1344" s="765">
        <v>0</v>
      </c>
      <c r="M1344" s="765">
        <v>0</v>
      </c>
      <c r="O1344" s="765">
        <f t="shared" si="259"/>
        <v>0</v>
      </c>
      <c r="P1344" s="765">
        <f t="shared" si="260"/>
        <v>0</v>
      </c>
      <c r="Q1344" s="765">
        <f t="shared" si="261"/>
        <v>0</v>
      </c>
      <c r="R1344" s="766" t="e">
        <f t="shared" si="262"/>
        <v>#DIV/0!</v>
      </c>
      <c r="S1344" s="765">
        <f t="shared" si="263"/>
        <v>0</v>
      </c>
      <c r="T1344" s="84"/>
      <c r="Z1344" s="830">
        <f t="shared" si="255"/>
        <v>0</v>
      </c>
      <c r="AA1344" s="831">
        <v>0</v>
      </c>
      <c r="AB1344" s="84">
        <f t="shared" si="264"/>
        <v>0</v>
      </c>
      <c r="AE1344" s="84">
        <f t="shared" si="256"/>
        <v>0</v>
      </c>
    </row>
    <row r="1345" spans="1:31" x14ac:dyDescent="0.25">
      <c r="A1345" s="84"/>
      <c r="B1345" s="84"/>
      <c r="C1345" s="84"/>
      <c r="D1345" s="84"/>
      <c r="E1345" s="760" t="s">
        <v>5259</v>
      </c>
      <c r="F1345" s="782">
        <v>421</v>
      </c>
      <c r="G1345" s="783" t="s">
        <v>3781</v>
      </c>
      <c r="H1345" s="763">
        <v>540000</v>
      </c>
      <c r="I1345" s="763">
        <f>362902.15+36347.69</f>
        <v>399249.84</v>
      </c>
      <c r="J1345" s="764">
        <f t="shared" si="257"/>
        <v>0.73935155555555565</v>
      </c>
      <c r="K1345" s="763">
        <f t="shared" si="258"/>
        <v>140750.15999999997</v>
      </c>
      <c r="L1345" s="889">
        <f>70000+11000.4</f>
        <v>81000.399999999994</v>
      </c>
      <c r="M1345" s="889">
        <f>24092.61+11592.3</f>
        <v>35684.910000000003</v>
      </c>
      <c r="N1345" s="890">
        <f>M1345/L1345</f>
        <v>0.44055226887768462</v>
      </c>
      <c r="O1345" s="889">
        <f t="shared" si="259"/>
        <v>45315.489999999991</v>
      </c>
      <c r="P1345" s="889">
        <f t="shared" si="260"/>
        <v>621000.4</v>
      </c>
      <c r="Q1345" s="889">
        <f>M1345+I1345</f>
        <v>434934.75</v>
      </c>
      <c r="R1345" s="890">
        <f t="shared" si="262"/>
        <v>0.70037756819480312</v>
      </c>
      <c r="S1345" s="889">
        <f t="shared" si="263"/>
        <v>186065.65000000002</v>
      </c>
      <c r="T1345" s="84"/>
      <c r="Y1345" s="834">
        <v>40000</v>
      </c>
      <c r="Z1345" s="830">
        <f t="shared" si="255"/>
        <v>580000</v>
      </c>
      <c r="AA1345" s="831">
        <v>505000</v>
      </c>
      <c r="AB1345" s="84">
        <f t="shared" si="264"/>
        <v>75000</v>
      </c>
      <c r="AE1345" s="84">
        <f t="shared" si="256"/>
        <v>35000</v>
      </c>
    </row>
    <row r="1346" spans="1:31" x14ac:dyDescent="0.25">
      <c r="A1346" s="84"/>
      <c r="B1346" s="84"/>
      <c r="C1346" s="84"/>
      <c r="D1346" s="84"/>
      <c r="E1346" s="760" t="s">
        <v>5260</v>
      </c>
      <c r="F1346" s="782">
        <v>422</v>
      </c>
      <c r="G1346" s="783" t="s">
        <v>3782</v>
      </c>
      <c r="H1346" s="763">
        <v>65000</v>
      </c>
      <c r="I1346" s="763">
        <v>2303</v>
      </c>
      <c r="J1346" s="764">
        <f t="shared" si="257"/>
        <v>3.5430769230769231E-2</v>
      </c>
      <c r="K1346" s="763">
        <f t="shared" si="258"/>
        <v>62697</v>
      </c>
      <c r="L1346" s="889">
        <v>30000</v>
      </c>
      <c r="M1346" s="889">
        <v>0</v>
      </c>
      <c r="N1346" s="890">
        <f>M1346/L1346</f>
        <v>0</v>
      </c>
      <c r="O1346" s="889">
        <f t="shared" si="259"/>
        <v>30000</v>
      </c>
      <c r="P1346" s="889">
        <f t="shared" si="260"/>
        <v>95000</v>
      </c>
      <c r="Q1346" s="889">
        <f t="shared" si="261"/>
        <v>2303</v>
      </c>
      <c r="R1346" s="890">
        <f t="shared" si="262"/>
        <v>2.4242105263157895E-2</v>
      </c>
      <c r="S1346" s="889">
        <f t="shared" si="263"/>
        <v>92697</v>
      </c>
      <c r="T1346" s="84"/>
      <c r="Z1346" s="830">
        <f t="shared" si="255"/>
        <v>65000</v>
      </c>
      <c r="AA1346" s="831">
        <v>50000</v>
      </c>
      <c r="AB1346" s="84">
        <f t="shared" si="264"/>
        <v>15000</v>
      </c>
      <c r="AE1346" s="84">
        <f t="shared" si="256"/>
        <v>15000</v>
      </c>
    </row>
    <row r="1347" spans="1:31" x14ac:dyDescent="0.25">
      <c r="A1347" s="84"/>
      <c r="B1347" s="84"/>
      <c r="C1347" s="84"/>
      <c r="D1347" s="84"/>
      <c r="E1347" s="760" t="s">
        <v>5261</v>
      </c>
      <c r="F1347" s="782">
        <v>423</v>
      </c>
      <c r="G1347" s="783" t="s">
        <v>3783</v>
      </c>
      <c r="H1347" s="763">
        <v>495000</v>
      </c>
      <c r="I1347" s="763">
        <f>173440.29+35517</f>
        <v>208957.29</v>
      </c>
      <c r="J1347" s="764">
        <f t="shared" si="257"/>
        <v>0.4221359393939394</v>
      </c>
      <c r="K1347" s="763">
        <f t="shared" si="258"/>
        <v>286042.70999999996</v>
      </c>
      <c r="L1347" s="889">
        <v>80000</v>
      </c>
      <c r="M1347" s="889">
        <f>9758.33+40503.67</f>
        <v>50262</v>
      </c>
      <c r="N1347" s="890">
        <f>M1347/L1347</f>
        <v>0.62827500000000003</v>
      </c>
      <c r="O1347" s="889">
        <f t="shared" si="259"/>
        <v>29738</v>
      </c>
      <c r="P1347" s="889">
        <f t="shared" si="260"/>
        <v>575000</v>
      </c>
      <c r="Q1347" s="889">
        <f t="shared" si="261"/>
        <v>259219.29</v>
      </c>
      <c r="R1347" s="890">
        <f t="shared" si="262"/>
        <v>0.45081615652173912</v>
      </c>
      <c r="S1347" s="889">
        <f t="shared" si="263"/>
        <v>315780.70999999996</v>
      </c>
      <c r="T1347" s="84"/>
      <c r="Y1347" s="834">
        <v>40000</v>
      </c>
      <c r="Z1347" s="830">
        <f t="shared" si="255"/>
        <v>535000</v>
      </c>
      <c r="AA1347" s="831">
        <v>365000</v>
      </c>
      <c r="AB1347" s="84">
        <f t="shared" si="264"/>
        <v>170000</v>
      </c>
      <c r="AE1347" s="84">
        <f t="shared" si="256"/>
        <v>130000</v>
      </c>
    </row>
    <row r="1348" spans="1:31" x14ac:dyDescent="0.25">
      <c r="A1348" s="84"/>
      <c r="B1348" s="84"/>
      <c r="C1348" s="84"/>
      <c r="D1348" s="84"/>
      <c r="E1348" s="760" t="s">
        <v>5262</v>
      </c>
      <c r="F1348" s="782">
        <v>424</v>
      </c>
      <c r="G1348" s="783" t="s">
        <v>3785</v>
      </c>
      <c r="H1348" s="763">
        <v>500000</v>
      </c>
      <c r="I1348" s="763">
        <f>161250-12000+68000</f>
        <v>217250</v>
      </c>
      <c r="J1348" s="764">
        <f t="shared" si="257"/>
        <v>0.4345</v>
      </c>
      <c r="K1348" s="763">
        <f t="shared" si="258"/>
        <v>282750</v>
      </c>
      <c r="L1348" s="765">
        <v>0</v>
      </c>
      <c r="M1348" s="765">
        <v>0</v>
      </c>
      <c r="O1348" s="765">
        <f t="shared" si="259"/>
        <v>0</v>
      </c>
      <c r="P1348" s="765">
        <f>L1348+H1348</f>
        <v>500000</v>
      </c>
      <c r="Q1348" s="765">
        <f t="shared" si="261"/>
        <v>217250</v>
      </c>
      <c r="R1348" s="766">
        <f t="shared" si="262"/>
        <v>0.4345</v>
      </c>
      <c r="S1348" s="765">
        <f t="shared" si="263"/>
        <v>282750</v>
      </c>
      <c r="T1348" s="84"/>
      <c r="Z1348" s="830">
        <f t="shared" si="255"/>
        <v>500000</v>
      </c>
      <c r="AA1348" s="831">
        <v>500000</v>
      </c>
      <c r="AB1348" s="84">
        <f t="shared" si="264"/>
        <v>0</v>
      </c>
      <c r="AE1348" s="84">
        <f t="shared" si="256"/>
        <v>0</v>
      </c>
    </row>
    <row r="1349" spans="1:31" x14ac:dyDescent="0.25">
      <c r="A1349" s="84"/>
      <c r="B1349" s="84"/>
      <c r="C1349" s="84"/>
      <c r="D1349" s="84"/>
      <c r="E1349" s="760" t="s">
        <v>5263</v>
      </c>
      <c r="F1349" s="782">
        <v>425</v>
      </c>
      <c r="G1349" s="783" t="s">
        <v>4127</v>
      </c>
      <c r="H1349" s="763">
        <f>480000-200000</f>
        <v>280000</v>
      </c>
      <c r="I1349" s="763">
        <v>16750</v>
      </c>
      <c r="J1349" s="764">
        <f t="shared" si="257"/>
        <v>5.9821428571428574E-2</v>
      </c>
      <c r="K1349" s="763">
        <f t="shared" si="258"/>
        <v>263250</v>
      </c>
      <c r="L1349" s="889">
        <v>0</v>
      </c>
      <c r="M1349" s="889">
        <v>0</v>
      </c>
      <c r="N1349" s="890"/>
      <c r="O1349" s="889">
        <f t="shared" si="259"/>
        <v>0</v>
      </c>
      <c r="P1349" s="889">
        <f t="shared" si="260"/>
        <v>280000</v>
      </c>
      <c r="Q1349" s="889">
        <f t="shared" si="261"/>
        <v>16750</v>
      </c>
      <c r="R1349" s="890">
        <f t="shared" si="262"/>
        <v>5.9821428571428574E-2</v>
      </c>
      <c r="S1349" s="889">
        <f t="shared" si="263"/>
        <v>263250</v>
      </c>
      <c r="T1349" s="84"/>
      <c r="Z1349" s="830">
        <f t="shared" si="255"/>
        <v>280000</v>
      </c>
      <c r="AA1349" s="831">
        <v>380000</v>
      </c>
      <c r="AB1349" s="84">
        <f t="shared" si="264"/>
        <v>-100000</v>
      </c>
      <c r="AE1349" s="84">
        <f t="shared" si="256"/>
        <v>-100000</v>
      </c>
    </row>
    <row r="1350" spans="1:31" x14ac:dyDescent="0.25">
      <c r="A1350" s="84"/>
      <c r="B1350" s="84"/>
      <c r="C1350" s="84"/>
      <c r="D1350" s="84"/>
      <c r="E1350" s="760" t="s">
        <v>5264</v>
      </c>
      <c r="F1350" s="782">
        <v>426</v>
      </c>
      <c r="G1350" s="783" t="s">
        <v>3789</v>
      </c>
      <c r="H1350" s="763">
        <f>320000-6086-100000</f>
        <v>213914</v>
      </c>
      <c r="I1350" s="763">
        <f>129854.47-35000+4550</f>
        <v>99404.47</v>
      </c>
      <c r="J1350" s="764">
        <f t="shared" si="257"/>
        <v>0.4646936151911516</v>
      </c>
      <c r="K1350" s="763">
        <f t="shared" si="258"/>
        <v>114509.53</v>
      </c>
      <c r="L1350" s="889">
        <f>537000+188599</f>
        <v>725599</v>
      </c>
      <c r="M1350" s="889">
        <f>58503.52+84777.3</f>
        <v>143280.82</v>
      </c>
      <c r="N1350" s="890">
        <f>M1350/L1350</f>
        <v>0.19746556982575778</v>
      </c>
      <c r="O1350" s="889">
        <f t="shared" si="259"/>
        <v>582318.17999999993</v>
      </c>
      <c r="P1350" s="889">
        <f t="shared" si="260"/>
        <v>939513</v>
      </c>
      <c r="Q1350" s="889">
        <f t="shared" si="261"/>
        <v>242685.29</v>
      </c>
      <c r="R1350" s="890">
        <f t="shared" si="262"/>
        <v>0.25830966681674444</v>
      </c>
      <c r="S1350" s="889">
        <f t="shared" si="263"/>
        <v>696827.71</v>
      </c>
      <c r="T1350" s="84"/>
      <c r="Z1350" s="830">
        <f t="shared" si="255"/>
        <v>213914</v>
      </c>
      <c r="AA1350" s="831">
        <v>410000</v>
      </c>
      <c r="AB1350" s="84">
        <f t="shared" si="264"/>
        <v>-196086</v>
      </c>
      <c r="AE1350" s="84">
        <f t="shared" si="256"/>
        <v>-196086</v>
      </c>
    </row>
    <row r="1351" spans="1:31" hidden="1" x14ac:dyDescent="0.25">
      <c r="A1351" s="84"/>
      <c r="B1351" s="84"/>
      <c r="C1351" s="84"/>
      <c r="D1351" s="84"/>
      <c r="F1351" s="782">
        <v>431</v>
      </c>
      <c r="G1351" s="783" t="s">
        <v>4128</v>
      </c>
      <c r="H1351" s="763">
        <v>0</v>
      </c>
      <c r="I1351" s="763">
        <v>0</v>
      </c>
      <c r="J1351" s="764" t="e">
        <f t="shared" si="257"/>
        <v>#DIV/0!</v>
      </c>
      <c r="K1351" s="763">
        <f t="shared" si="258"/>
        <v>0</v>
      </c>
      <c r="L1351" s="889">
        <v>0</v>
      </c>
      <c r="M1351" s="889">
        <v>0</v>
      </c>
      <c r="N1351" s="890"/>
      <c r="O1351" s="889">
        <f t="shared" si="259"/>
        <v>0</v>
      </c>
      <c r="P1351" s="889">
        <f t="shared" si="260"/>
        <v>0</v>
      </c>
      <c r="Q1351" s="889">
        <f t="shared" si="261"/>
        <v>0</v>
      </c>
      <c r="R1351" s="890" t="e">
        <f t="shared" si="262"/>
        <v>#DIV/0!</v>
      </c>
      <c r="S1351" s="889">
        <f t="shared" si="263"/>
        <v>0</v>
      </c>
      <c r="T1351" s="84"/>
      <c r="Z1351" s="830">
        <f t="shared" si="255"/>
        <v>0</v>
      </c>
      <c r="AA1351" s="831">
        <v>0</v>
      </c>
      <c r="AB1351" s="84">
        <f t="shared" si="264"/>
        <v>0</v>
      </c>
      <c r="AE1351" s="84">
        <f t="shared" si="256"/>
        <v>0</v>
      </c>
    </row>
    <row r="1352" spans="1:31" hidden="1" x14ac:dyDescent="0.25">
      <c r="A1352" s="84"/>
      <c r="B1352" s="84"/>
      <c r="C1352" s="84"/>
      <c r="D1352" s="84"/>
      <c r="F1352" s="782">
        <v>432</v>
      </c>
      <c r="G1352" s="783" t="s">
        <v>4129</v>
      </c>
      <c r="H1352" s="763">
        <v>0</v>
      </c>
      <c r="I1352" s="763">
        <v>0</v>
      </c>
      <c r="J1352" s="764" t="e">
        <f t="shared" si="257"/>
        <v>#DIV/0!</v>
      </c>
      <c r="K1352" s="763">
        <f t="shared" si="258"/>
        <v>0</v>
      </c>
      <c r="L1352" s="889">
        <v>0</v>
      </c>
      <c r="M1352" s="889">
        <v>0</v>
      </c>
      <c r="N1352" s="890"/>
      <c r="O1352" s="889">
        <f t="shared" si="259"/>
        <v>0</v>
      </c>
      <c r="P1352" s="889">
        <f t="shared" si="260"/>
        <v>0</v>
      </c>
      <c r="Q1352" s="889">
        <f t="shared" si="261"/>
        <v>0</v>
      </c>
      <c r="R1352" s="890" t="e">
        <f t="shared" si="262"/>
        <v>#DIV/0!</v>
      </c>
      <c r="S1352" s="889">
        <f t="shared" si="263"/>
        <v>0</v>
      </c>
      <c r="T1352" s="84"/>
      <c r="Z1352" s="830">
        <f t="shared" si="255"/>
        <v>0</v>
      </c>
      <c r="AA1352" s="831">
        <v>0</v>
      </c>
      <c r="AB1352" s="84">
        <f t="shared" si="264"/>
        <v>0</v>
      </c>
      <c r="AE1352" s="84">
        <f t="shared" si="256"/>
        <v>0</v>
      </c>
    </row>
    <row r="1353" spans="1:31" hidden="1" x14ac:dyDescent="0.25">
      <c r="A1353" s="84"/>
      <c r="B1353" s="84"/>
      <c r="C1353" s="84"/>
      <c r="D1353" s="84"/>
      <c r="E1353" s="994"/>
      <c r="F1353" s="782">
        <v>433</v>
      </c>
      <c r="G1353" s="783" t="s">
        <v>4130</v>
      </c>
      <c r="H1353" s="763">
        <v>0</v>
      </c>
      <c r="I1353" s="763">
        <v>0</v>
      </c>
      <c r="J1353" s="764" t="e">
        <f t="shared" si="257"/>
        <v>#DIV/0!</v>
      </c>
      <c r="K1353" s="763">
        <f t="shared" si="258"/>
        <v>0</v>
      </c>
      <c r="L1353" s="889">
        <v>0</v>
      </c>
      <c r="M1353" s="889">
        <v>0</v>
      </c>
      <c r="N1353" s="890"/>
      <c r="O1353" s="889">
        <f t="shared" si="259"/>
        <v>0</v>
      </c>
      <c r="P1353" s="889">
        <f t="shared" si="260"/>
        <v>0</v>
      </c>
      <c r="Q1353" s="889">
        <f t="shared" si="261"/>
        <v>0</v>
      </c>
      <c r="R1353" s="890" t="e">
        <f t="shared" si="262"/>
        <v>#DIV/0!</v>
      </c>
      <c r="S1353" s="889">
        <f t="shared" si="263"/>
        <v>0</v>
      </c>
      <c r="T1353" s="84"/>
      <c r="Z1353" s="830">
        <f t="shared" si="255"/>
        <v>0</v>
      </c>
      <c r="AA1353" s="831">
        <v>0</v>
      </c>
      <c r="AB1353" s="84">
        <f t="shared" si="264"/>
        <v>0</v>
      </c>
      <c r="AE1353" s="84">
        <f t="shared" si="256"/>
        <v>0</v>
      </c>
    </row>
    <row r="1354" spans="1:31" hidden="1" x14ac:dyDescent="0.25">
      <c r="A1354" s="84"/>
      <c r="B1354" s="84"/>
      <c r="C1354" s="84"/>
      <c r="D1354" s="84"/>
      <c r="E1354" s="994"/>
      <c r="F1354" s="782">
        <v>434</v>
      </c>
      <c r="G1354" s="783" t="s">
        <v>4131</v>
      </c>
      <c r="H1354" s="763">
        <v>0</v>
      </c>
      <c r="I1354" s="763">
        <v>0</v>
      </c>
      <c r="J1354" s="764" t="e">
        <f t="shared" si="257"/>
        <v>#DIV/0!</v>
      </c>
      <c r="K1354" s="763">
        <f t="shared" si="258"/>
        <v>0</v>
      </c>
      <c r="L1354" s="889">
        <v>0</v>
      </c>
      <c r="M1354" s="889">
        <v>0</v>
      </c>
      <c r="N1354" s="890"/>
      <c r="O1354" s="889">
        <f t="shared" si="259"/>
        <v>0</v>
      </c>
      <c r="P1354" s="889">
        <f t="shared" si="260"/>
        <v>0</v>
      </c>
      <c r="Q1354" s="889">
        <f t="shared" si="261"/>
        <v>0</v>
      </c>
      <c r="R1354" s="890" t="e">
        <f t="shared" si="262"/>
        <v>#DIV/0!</v>
      </c>
      <c r="S1354" s="889">
        <f t="shared" si="263"/>
        <v>0</v>
      </c>
      <c r="T1354" s="84"/>
      <c r="Z1354" s="830">
        <f t="shared" si="255"/>
        <v>0</v>
      </c>
      <c r="AA1354" s="831">
        <v>0</v>
      </c>
      <c r="AB1354" s="84">
        <f t="shared" si="264"/>
        <v>0</v>
      </c>
      <c r="AE1354" s="84">
        <f t="shared" si="256"/>
        <v>0</v>
      </c>
    </row>
    <row r="1355" spans="1:31" hidden="1" x14ac:dyDescent="0.25">
      <c r="A1355" s="84"/>
      <c r="B1355" s="84"/>
      <c r="C1355" s="84"/>
      <c r="D1355" s="84"/>
      <c r="E1355" s="994"/>
      <c r="F1355" s="782">
        <v>435</v>
      </c>
      <c r="G1355" s="783" t="s">
        <v>3796</v>
      </c>
      <c r="H1355" s="763">
        <v>0</v>
      </c>
      <c r="I1355" s="763">
        <v>0</v>
      </c>
      <c r="J1355" s="764" t="e">
        <f t="shared" si="257"/>
        <v>#DIV/0!</v>
      </c>
      <c r="K1355" s="763">
        <f t="shared" si="258"/>
        <v>0</v>
      </c>
      <c r="L1355" s="889">
        <v>0</v>
      </c>
      <c r="M1355" s="889">
        <v>0</v>
      </c>
      <c r="N1355" s="890"/>
      <c r="O1355" s="889">
        <f t="shared" si="259"/>
        <v>0</v>
      </c>
      <c r="P1355" s="889">
        <f t="shared" si="260"/>
        <v>0</v>
      </c>
      <c r="Q1355" s="889">
        <f t="shared" si="261"/>
        <v>0</v>
      </c>
      <c r="R1355" s="890" t="e">
        <f t="shared" si="262"/>
        <v>#DIV/0!</v>
      </c>
      <c r="S1355" s="889">
        <f t="shared" si="263"/>
        <v>0</v>
      </c>
      <c r="T1355" s="84"/>
      <c r="Z1355" s="830">
        <f t="shared" si="255"/>
        <v>0</v>
      </c>
      <c r="AA1355" s="831">
        <v>0</v>
      </c>
      <c r="AB1355" s="84">
        <f t="shared" si="264"/>
        <v>0</v>
      </c>
      <c r="AE1355" s="84">
        <f t="shared" si="256"/>
        <v>0</v>
      </c>
    </row>
    <row r="1356" spans="1:31" hidden="1" x14ac:dyDescent="0.25">
      <c r="A1356" s="84"/>
      <c r="B1356" s="84"/>
      <c r="C1356" s="84"/>
      <c r="D1356" s="84"/>
      <c r="E1356" s="994"/>
      <c r="F1356" s="782">
        <v>441</v>
      </c>
      <c r="G1356" s="783" t="s">
        <v>4132</v>
      </c>
      <c r="H1356" s="763">
        <v>0</v>
      </c>
      <c r="I1356" s="763">
        <v>0</v>
      </c>
      <c r="J1356" s="764" t="e">
        <f t="shared" si="257"/>
        <v>#DIV/0!</v>
      </c>
      <c r="K1356" s="763">
        <f t="shared" si="258"/>
        <v>0</v>
      </c>
      <c r="L1356" s="889">
        <v>0</v>
      </c>
      <c r="M1356" s="889">
        <v>0</v>
      </c>
      <c r="N1356" s="890"/>
      <c r="O1356" s="889">
        <f t="shared" si="259"/>
        <v>0</v>
      </c>
      <c r="P1356" s="889">
        <f t="shared" si="260"/>
        <v>0</v>
      </c>
      <c r="Q1356" s="889">
        <f t="shared" si="261"/>
        <v>0</v>
      </c>
      <c r="R1356" s="890" t="e">
        <f t="shared" si="262"/>
        <v>#DIV/0!</v>
      </c>
      <c r="S1356" s="889">
        <f t="shared" si="263"/>
        <v>0</v>
      </c>
      <c r="T1356" s="84"/>
      <c r="Z1356" s="830">
        <f t="shared" si="255"/>
        <v>0</v>
      </c>
      <c r="AA1356" s="831">
        <v>0</v>
      </c>
      <c r="AB1356" s="84">
        <f t="shared" si="264"/>
        <v>0</v>
      </c>
      <c r="AE1356" s="84">
        <f t="shared" si="256"/>
        <v>0</v>
      </c>
    </row>
    <row r="1357" spans="1:31" hidden="1" x14ac:dyDescent="0.25">
      <c r="A1357" s="84"/>
      <c r="B1357" s="84"/>
      <c r="C1357" s="84"/>
      <c r="D1357" s="84"/>
      <c r="E1357" s="994"/>
      <c r="F1357" s="782">
        <v>442</v>
      </c>
      <c r="G1357" s="783" t="s">
        <v>4133</v>
      </c>
      <c r="H1357" s="763">
        <v>0</v>
      </c>
      <c r="I1357" s="763">
        <v>0</v>
      </c>
      <c r="J1357" s="764" t="e">
        <f t="shared" si="257"/>
        <v>#DIV/0!</v>
      </c>
      <c r="K1357" s="763">
        <f t="shared" si="258"/>
        <v>0</v>
      </c>
      <c r="L1357" s="889">
        <v>0</v>
      </c>
      <c r="M1357" s="889">
        <v>0</v>
      </c>
      <c r="N1357" s="890"/>
      <c r="O1357" s="889">
        <f t="shared" si="259"/>
        <v>0</v>
      </c>
      <c r="P1357" s="889">
        <f t="shared" si="260"/>
        <v>0</v>
      </c>
      <c r="Q1357" s="889">
        <f t="shared" si="261"/>
        <v>0</v>
      </c>
      <c r="R1357" s="890" t="e">
        <f t="shared" si="262"/>
        <v>#DIV/0!</v>
      </c>
      <c r="S1357" s="889">
        <f t="shared" si="263"/>
        <v>0</v>
      </c>
      <c r="T1357" s="84"/>
      <c r="Z1357" s="830">
        <f t="shared" si="255"/>
        <v>0</v>
      </c>
      <c r="AA1357" s="831">
        <v>0</v>
      </c>
      <c r="AB1357" s="84">
        <f t="shared" si="264"/>
        <v>0</v>
      </c>
      <c r="AE1357" s="84">
        <f t="shared" si="256"/>
        <v>0</v>
      </c>
    </row>
    <row r="1358" spans="1:31" hidden="1" x14ac:dyDescent="0.25">
      <c r="A1358" s="84"/>
      <c r="B1358" s="84"/>
      <c r="C1358" s="84"/>
      <c r="D1358" s="84"/>
      <c r="E1358" s="994"/>
      <c r="F1358" s="782">
        <v>443</v>
      </c>
      <c r="G1358" s="783" t="s">
        <v>3801</v>
      </c>
      <c r="H1358" s="763">
        <v>0</v>
      </c>
      <c r="I1358" s="763">
        <v>0</v>
      </c>
      <c r="J1358" s="764" t="e">
        <f t="shared" si="257"/>
        <v>#DIV/0!</v>
      </c>
      <c r="K1358" s="763">
        <f t="shared" si="258"/>
        <v>0</v>
      </c>
      <c r="L1358" s="889">
        <v>0</v>
      </c>
      <c r="M1358" s="889">
        <v>0</v>
      </c>
      <c r="N1358" s="890"/>
      <c r="O1358" s="889">
        <f t="shared" si="259"/>
        <v>0</v>
      </c>
      <c r="P1358" s="889">
        <f t="shared" si="260"/>
        <v>0</v>
      </c>
      <c r="Q1358" s="889">
        <f t="shared" si="261"/>
        <v>0</v>
      </c>
      <c r="R1358" s="890" t="e">
        <f t="shared" si="262"/>
        <v>#DIV/0!</v>
      </c>
      <c r="S1358" s="889">
        <f t="shared" si="263"/>
        <v>0</v>
      </c>
      <c r="T1358" s="84"/>
      <c r="Z1358" s="830">
        <f t="shared" si="255"/>
        <v>0</v>
      </c>
      <c r="AA1358" s="831">
        <v>0</v>
      </c>
      <c r="AB1358" s="84">
        <f t="shared" si="264"/>
        <v>0</v>
      </c>
      <c r="AE1358" s="84">
        <f t="shared" si="256"/>
        <v>0</v>
      </c>
    </row>
    <row r="1359" spans="1:31" hidden="1" x14ac:dyDescent="0.25">
      <c r="A1359" s="84"/>
      <c r="B1359" s="84"/>
      <c r="C1359" s="84"/>
      <c r="D1359" s="84"/>
      <c r="E1359" s="994"/>
      <c r="F1359" s="782">
        <v>444</v>
      </c>
      <c r="G1359" s="783" t="s">
        <v>3802</v>
      </c>
      <c r="H1359" s="763">
        <v>0</v>
      </c>
      <c r="I1359" s="763">
        <v>0</v>
      </c>
      <c r="K1359" s="763">
        <f t="shared" si="258"/>
        <v>0</v>
      </c>
      <c r="L1359" s="889">
        <v>0</v>
      </c>
      <c r="M1359" s="889">
        <v>0</v>
      </c>
      <c r="N1359" s="890"/>
      <c r="O1359" s="889">
        <f t="shared" si="259"/>
        <v>0</v>
      </c>
      <c r="P1359" s="889">
        <f t="shared" si="260"/>
        <v>0</v>
      </c>
      <c r="Q1359" s="889">
        <f t="shared" si="261"/>
        <v>0</v>
      </c>
      <c r="R1359" s="890"/>
      <c r="S1359" s="889">
        <f t="shared" si="263"/>
        <v>0</v>
      </c>
      <c r="T1359" s="84"/>
      <c r="Z1359" s="830">
        <f t="shared" si="255"/>
        <v>0</v>
      </c>
      <c r="AA1359" s="831">
        <v>0</v>
      </c>
      <c r="AB1359" s="84">
        <f t="shared" si="264"/>
        <v>0</v>
      </c>
      <c r="AE1359" s="84">
        <f t="shared" si="256"/>
        <v>0</v>
      </c>
    </row>
    <row r="1360" spans="1:31" ht="30" hidden="1" x14ac:dyDescent="0.25">
      <c r="A1360" s="84"/>
      <c r="B1360" s="84"/>
      <c r="C1360" s="84"/>
      <c r="D1360" s="84"/>
      <c r="E1360" s="994"/>
      <c r="F1360" s="782">
        <v>4511</v>
      </c>
      <c r="G1360" s="874" t="s">
        <v>1691</v>
      </c>
      <c r="H1360" s="763">
        <v>0</v>
      </c>
      <c r="I1360" s="763">
        <v>0</v>
      </c>
      <c r="J1360" s="764" t="e">
        <f t="shared" si="257"/>
        <v>#DIV/0!</v>
      </c>
      <c r="K1360" s="763">
        <f t="shared" si="258"/>
        <v>0</v>
      </c>
      <c r="L1360" s="889">
        <v>0</v>
      </c>
      <c r="M1360" s="889">
        <v>0</v>
      </c>
      <c r="N1360" s="890"/>
      <c r="O1360" s="889">
        <f t="shared" si="259"/>
        <v>0</v>
      </c>
      <c r="P1360" s="889">
        <f t="shared" si="260"/>
        <v>0</v>
      </c>
      <c r="Q1360" s="889">
        <f t="shared" si="261"/>
        <v>0</v>
      </c>
      <c r="R1360" s="890" t="e">
        <f t="shared" si="262"/>
        <v>#DIV/0!</v>
      </c>
      <c r="S1360" s="889">
        <f t="shared" si="263"/>
        <v>0</v>
      </c>
      <c r="T1360" s="84"/>
      <c r="Z1360" s="830">
        <f t="shared" si="255"/>
        <v>0</v>
      </c>
      <c r="AA1360" s="831">
        <v>0</v>
      </c>
      <c r="AB1360" s="84">
        <f t="shared" si="264"/>
        <v>0</v>
      </c>
      <c r="AE1360" s="84">
        <f t="shared" si="256"/>
        <v>0</v>
      </c>
    </row>
    <row r="1361" spans="1:31" ht="19.5" hidden="1" customHeight="1" x14ac:dyDescent="0.25">
      <c r="A1361" s="84"/>
      <c r="B1361" s="84"/>
      <c r="C1361" s="84"/>
      <c r="D1361" s="84"/>
      <c r="E1361" s="994"/>
      <c r="F1361" s="782">
        <v>4512</v>
      </c>
      <c r="G1361" s="874" t="s">
        <v>1700</v>
      </c>
      <c r="H1361" s="763">
        <v>0</v>
      </c>
      <c r="I1361" s="763">
        <v>0</v>
      </c>
      <c r="J1361" s="764" t="e">
        <f t="shared" si="257"/>
        <v>#DIV/0!</v>
      </c>
      <c r="K1361" s="763">
        <f t="shared" si="258"/>
        <v>0</v>
      </c>
      <c r="L1361" s="889">
        <v>0</v>
      </c>
      <c r="M1361" s="889">
        <v>0</v>
      </c>
      <c r="N1361" s="890"/>
      <c r="O1361" s="889">
        <f t="shared" si="259"/>
        <v>0</v>
      </c>
      <c r="P1361" s="889">
        <f t="shared" si="260"/>
        <v>0</v>
      </c>
      <c r="Q1361" s="889">
        <f t="shared" si="261"/>
        <v>0</v>
      </c>
      <c r="R1361" s="890" t="e">
        <f t="shared" si="262"/>
        <v>#DIV/0!</v>
      </c>
      <c r="S1361" s="889">
        <f t="shared" si="263"/>
        <v>0</v>
      </c>
      <c r="T1361" s="84"/>
      <c r="Z1361" s="830">
        <f t="shared" si="255"/>
        <v>0</v>
      </c>
      <c r="AA1361" s="831">
        <v>0</v>
      </c>
      <c r="AB1361" s="84">
        <f t="shared" si="264"/>
        <v>0</v>
      </c>
      <c r="AE1361" s="84">
        <f t="shared" si="256"/>
        <v>0</v>
      </c>
    </row>
    <row r="1362" spans="1:31" ht="30" hidden="1" x14ac:dyDescent="0.25">
      <c r="A1362" s="84"/>
      <c r="B1362" s="84"/>
      <c r="C1362" s="84"/>
      <c r="D1362" s="84"/>
      <c r="E1362" s="994"/>
      <c r="F1362" s="782">
        <v>452</v>
      </c>
      <c r="G1362" s="783" t="s">
        <v>4134</v>
      </c>
      <c r="H1362" s="763">
        <v>0</v>
      </c>
      <c r="I1362" s="763">
        <v>0</v>
      </c>
      <c r="J1362" s="764" t="e">
        <f t="shared" si="257"/>
        <v>#DIV/0!</v>
      </c>
      <c r="K1362" s="763">
        <f t="shared" si="258"/>
        <v>0</v>
      </c>
      <c r="L1362" s="889">
        <v>0</v>
      </c>
      <c r="M1362" s="889">
        <v>0</v>
      </c>
      <c r="N1362" s="890"/>
      <c r="O1362" s="889">
        <f t="shared" si="259"/>
        <v>0</v>
      </c>
      <c r="P1362" s="889">
        <f t="shared" si="260"/>
        <v>0</v>
      </c>
      <c r="Q1362" s="889">
        <f t="shared" si="261"/>
        <v>0</v>
      </c>
      <c r="R1362" s="890" t="e">
        <f t="shared" si="262"/>
        <v>#DIV/0!</v>
      </c>
      <c r="S1362" s="889">
        <f t="shared" si="263"/>
        <v>0</v>
      </c>
      <c r="T1362" s="84"/>
      <c r="Z1362" s="830">
        <f t="shared" si="255"/>
        <v>0</v>
      </c>
      <c r="AA1362" s="831">
        <v>0</v>
      </c>
      <c r="AB1362" s="84">
        <f t="shared" si="264"/>
        <v>0</v>
      </c>
      <c r="AE1362" s="84">
        <f t="shared" si="256"/>
        <v>0</v>
      </c>
    </row>
    <row r="1363" spans="1:31" hidden="1" x14ac:dyDescent="0.25">
      <c r="A1363" s="84"/>
      <c r="B1363" s="84"/>
      <c r="C1363" s="84"/>
      <c r="D1363" s="84"/>
      <c r="E1363" s="994"/>
      <c r="F1363" s="782">
        <v>453</v>
      </c>
      <c r="G1363" s="783" t="s">
        <v>4135</v>
      </c>
      <c r="H1363" s="763">
        <v>0</v>
      </c>
      <c r="I1363" s="763">
        <v>0</v>
      </c>
      <c r="J1363" s="764" t="e">
        <f t="shared" si="257"/>
        <v>#DIV/0!</v>
      </c>
      <c r="K1363" s="763">
        <f t="shared" si="258"/>
        <v>0</v>
      </c>
      <c r="L1363" s="889">
        <v>0</v>
      </c>
      <c r="M1363" s="889">
        <v>0</v>
      </c>
      <c r="N1363" s="890"/>
      <c r="O1363" s="889">
        <f t="shared" si="259"/>
        <v>0</v>
      </c>
      <c r="P1363" s="889">
        <f t="shared" si="260"/>
        <v>0</v>
      </c>
      <c r="Q1363" s="889">
        <f t="shared" si="261"/>
        <v>0</v>
      </c>
      <c r="R1363" s="890" t="e">
        <f t="shared" si="262"/>
        <v>#DIV/0!</v>
      </c>
      <c r="S1363" s="889">
        <f t="shared" si="263"/>
        <v>0</v>
      </c>
      <c r="T1363" s="84"/>
      <c r="Z1363" s="830">
        <f t="shared" si="255"/>
        <v>0</v>
      </c>
      <c r="AA1363" s="831">
        <v>0</v>
      </c>
      <c r="AB1363" s="84">
        <f t="shared" si="264"/>
        <v>0</v>
      </c>
      <c r="AE1363" s="84">
        <f t="shared" si="256"/>
        <v>0</v>
      </c>
    </row>
    <row r="1364" spans="1:31" hidden="1" x14ac:dyDescent="0.25">
      <c r="A1364" s="84"/>
      <c r="B1364" s="84"/>
      <c r="C1364" s="84"/>
      <c r="D1364" s="84"/>
      <c r="E1364" s="994"/>
      <c r="F1364" s="782">
        <v>454</v>
      </c>
      <c r="G1364" s="783" t="s">
        <v>3807</v>
      </c>
      <c r="H1364" s="763">
        <v>0</v>
      </c>
      <c r="I1364" s="763">
        <v>0</v>
      </c>
      <c r="J1364" s="764" t="e">
        <f t="shared" si="257"/>
        <v>#DIV/0!</v>
      </c>
      <c r="K1364" s="763">
        <f t="shared" si="258"/>
        <v>0</v>
      </c>
      <c r="L1364" s="889">
        <v>0</v>
      </c>
      <c r="M1364" s="889">
        <v>0</v>
      </c>
      <c r="N1364" s="890"/>
      <c r="O1364" s="889">
        <f t="shared" si="259"/>
        <v>0</v>
      </c>
      <c r="P1364" s="889">
        <f t="shared" si="260"/>
        <v>0</v>
      </c>
      <c r="Q1364" s="889">
        <f t="shared" si="261"/>
        <v>0</v>
      </c>
      <c r="R1364" s="890" t="e">
        <f t="shared" si="262"/>
        <v>#DIV/0!</v>
      </c>
      <c r="S1364" s="889">
        <f t="shared" si="263"/>
        <v>0</v>
      </c>
      <c r="T1364" s="84"/>
      <c r="Z1364" s="830">
        <f t="shared" si="255"/>
        <v>0</v>
      </c>
      <c r="AA1364" s="831">
        <v>0</v>
      </c>
      <c r="AB1364" s="84">
        <f t="shared" si="264"/>
        <v>0</v>
      </c>
      <c r="AE1364" s="84">
        <f t="shared" si="256"/>
        <v>0</v>
      </c>
    </row>
    <row r="1365" spans="1:31" hidden="1" x14ac:dyDescent="0.25">
      <c r="A1365" s="84"/>
      <c r="B1365" s="84"/>
      <c r="C1365" s="84"/>
      <c r="D1365" s="84"/>
      <c r="E1365" s="994"/>
      <c r="F1365" s="782">
        <v>461</v>
      </c>
      <c r="G1365" s="783" t="s">
        <v>4116</v>
      </c>
      <c r="H1365" s="763">
        <v>0</v>
      </c>
      <c r="I1365" s="763">
        <v>0</v>
      </c>
      <c r="J1365" s="764" t="e">
        <f t="shared" si="257"/>
        <v>#DIV/0!</v>
      </c>
      <c r="K1365" s="763">
        <f t="shared" si="258"/>
        <v>0</v>
      </c>
      <c r="L1365" s="889">
        <v>0</v>
      </c>
      <c r="M1365" s="889">
        <v>0</v>
      </c>
      <c r="N1365" s="890"/>
      <c r="O1365" s="889">
        <f t="shared" si="259"/>
        <v>0</v>
      </c>
      <c r="P1365" s="889">
        <f t="shared" si="260"/>
        <v>0</v>
      </c>
      <c r="Q1365" s="889">
        <f t="shared" si="261"/>
        <v>0</v>
      </c>
      <c r="R1365" s="890" t="e">
        <f t="shared" si="262"/>
        <v>#DIV/0!</v>
      </c>
      <c r="S1365" s="889">
        <f t="shared" si="263"/>
        <v>0</v>
      </c>
      <c r="T1365" s="84"/>
      <c r="Z1365" s="830">
        <f t="shared" si="255"/>
        <v>0</v>
      </c>
      <c r="AA1365" s="831">
        <v>0</v>
      </c>
      <c r="AB1365" s="84">
        <f t="shared" si="264"/>
        <v>0</v>
      </c>
      <c r="AE1365" s="84">
        <f t="shared" si="256"/>
        <v>0</v>
      </c>
    </row>
    <row r="1366" spans="1:31" ht="30" hidden="1" x14ac:dyDescent="0.25">
      <c r="A1366" s="84"/>
      <c r="B1366" s="84"/>
      <c r="C1366" s="84"/>
      <c r="D1366" s="84"/>
      <c r="E1366" s="994"/>
      <c r="F1366" s="782">
        <v>462</v>
      </c>
      <c r="G1366" s="783" t="s">
        <v>3810</v>
      </c>
      <c r="H1366" s="763">
        <v>0</v>
      </c>
      <c r="I1366" s="763">
        <v>0</v>
      </c>
      <c r="J1366" s="764" t="e">
        <f t="shared" si="257"/>
        <v>#DIV/0!</v>
      </c>
      <c r="K1366" s="763">
        <f t="shared" si="258"/>
        <v>0</v>
      </c>
      <c r="L1366" s="889">
        <v>0</v>
      </c>
      <c r="M1366" s="889">
        <v>0</v>
      </c>
      <c r="N1366" s="890"/>
      <c r="O1366" s="889">
        <f t="shared" si="259"/>
        <v>0</v>
      </c>
      <c r="P1366" s="889">
        <f t="shared" si="260"/>
        <v>0</v>
      </c>
      <c r="Q1366" s="889">
        <f t="shared" si="261"/>
        <v>0</v>
      </c>
      <c r="R1366" s="890" t="e">
        <f t="shared" si="262"/>
        <v>#DIV/0!</v>
      </c>
      <c r="S1366" s="889">
        <f t="shared" si="263"/>
        <v>0</v>
      </c>
      <c r="T1366" s="84"/>
      <c r="Z1366" s="830">
        <f t="shared" si="255"/>
        <v>0</v>
      </c>
      <c r="AA1366" s="831">
        <v>0</v>
      </c>
      <c r="AB1366" s="84">
        <f t="shared" si="264"/>
        <v>0</v>
      </c>
      <c r="AE1366" s="84">
        <f t="shared" si="256"/>
        <v>0</v>
      </c>
    </row>
    <row r="1367" spans="1:31" hidden="1" x14ac:dyDescent="0.25">
      <c r="A1367" s="84"/>
      <c r="B1367" s="84"/>
      <c r="C1367" s="84"/>
      <c r="D1367" s="84"/>
      <c r="E1367" s="994"/>
      <c r="F1367" s="782">
        <v>4631</v>
      </c>
      <c r="G1367" s="783" t="s">
        <v>3811</v>
      </c>
      <c r="H1367" s="763">
        <v>0</v>
      </c>
      <c r="I1367" s="763">
        <v>0</v>
      </c>
      <c r="J1367" s="764" t="e">
        <f t="shared" si="257"/>
        <v>#DIV/0!</v>
      </c>
      <c r="K1367" s="763">
        <f t="shared" si="258"/>
        <v>0</v>
      </c>
      <c r="L1367" s="889">
        <v>0</v>
      </c>
      <c r="M1367" s="889">
        <v>0</v>
      </c>
      <c r="N1367" s="890"/>
      <c r="O1367" s="889">
        <f t="shared" si="259"/>
        <v>0</v>
      </c>
      <c r="P1367" s="889">
        <f t="shared" si="260"/>
        <v>0</v>
      </c>
      <c r="Q1367" s="889">
        <f t="shared" si="261"/>
        <v>0</v>
      </c>
      <c r="R1367" s="890" t="e">
        <f t="shared" si="262"/>
        <v>#DIV/0!</v>
      </c>
      <c r="S1367" s="889">
        <f t="shared" si="263"/>
        <v>0</v>
      </c>
      <c r="T1367" s="84"/>
      <c r="Z1367" s="830">
        <f t="shared" si="255"/>
        <v>0</v>
      </c>
      <c r="AA1367" s="831">
        <v>0</v>
      </c>
      <c r="AB1367" s="84">
        <f t="shared" si="264"/>
        <v>0</v>
      </c>
      <c r="AE1367" s="84">
        <f t="shared" si="256"/>
        <v>0</v>
      </c>
    </row>
    <row r="1368" spans="1:31" hidden="1" x14ac:dyDescent="0.25">
      <c r="A1368" s="84"/>
      <c r="B1368" s="84"/>
      <c r="C1368" s="84"/>
      <c r="D1368" s="84"/>
      <c r="E1368" s="994"/>
      <c r="F1368" s="782">
        <v>4632</v>
      </c>
      <c r="G1368" s="783" t="s">
        <v>3812</v>
      </c>
      <c r="H1368" s="763">
        <v>0</v>
      </c>
      <c r="I1368" s="763">
        <v>0</v>
      </c>
      <c r="J1368" s="764" t="e">
        <f t="shared" si="257"/>
        <v>#DIV/0!</v>
      </c>
      <c r="K1368" s="763">
        <f t="shared" si="258"/>
        <v>0</v>
      </c>
      <c r="L1368" s="889">
        <v>0</v>
      </c>
      <c r="M1368" s="889">
        <v>0</v>
      </c>
      <c r="N1368" s="890"/>
      <c r="O1368" s="889">
        <f t="shared" si="259"/>
        <v>0</v>
      </c>
      <c r="P1368" s="889">
        <f t="shared" si="260"/>
        <v>0</v>
      </c>
      <c r="Q1368" s="889">
        <f t="shared" si="261"/>
        <v>0</v>
      </c>
      <c r="R1368" s="890" t="e">
        <f t="shared" si="262"/>
        <v>#DIV/0!</v>
      </c>
      <c r="S1368" s="889">
        <f t="shared" si="263"/>
        <v>0</v>
      </c>
      <c r="T1368" s="84"/>
      <c r="Z1368" s="830">
        <f t="shared" si="255"/>
        <v>0</v>
      </c>
      <c r="AA1368" s="831">
        <v>0</v>
      </c>
      <c r="AB1368" s="84">
        <f t="shared" si="264"/>
        <v>0</v>
      </c>
      <c r="AE1368" s="84">
        <f t="shared" si="256"/>
        <v>0</v>
      </c>
    </row>
    <row r="1369" spans="1:31" ht="30" hidden="1" x14ac:dyDescent="0.25">
      <c r="A1369" s="84"/>
      <c r="B1369" s="84"/>
      <c r="C1369" s="84"/>
      <c r="D1369" s="84"/>
      <c r="F1369" s="782">
        <v>464</v>
      </c>
      <c r="G1369" s="783" t="s">
        <v>3813</v>
      </c>
      <c r="H1369" s="763">
        <v>0</v>
      </c>
      <c r="I1369" s="763">
        <v>0</v>
      </c>
      <c r="J1369" s="764" t="e">
        <f t="shared" si="257"/>
        <v>#DIV/0!</v>
      </c>
      <c r="K1369" s="763">
        <f t="shared" si="258"/>
        <v>0</v>
      </c>
      <c r="L1369" s="889">
        <v>0</v>
      </c>
      <c r="M1369" s="889">
        <v>0</v>
      </c>
      <c r="N1369" s="890"/>
      <c r="O1369" s="889">
        <f t="shared" si="259"/>
        <v>0</v>
      </c>
      <c r="P1369" s="889">
        <f t="shared" si="260"/>
        <v>0</v>
      </c>
      <c r="Q1369" s="889">
        <f t="shared" si="261"/>
        <v>0</v>
      </c>
      <c r="R1369" s="890" t="e">
        <f t="shared" si="262"/>
        <v>#DIV/0!</v>
      </c>
      <c r="S1369" s="889">
        <f t="shared" si="263"/>
        <v>0</v>
      </c>
      <c r="T1369" s="84"/>
      <c r="Z1369" s="830">
        <f t="shared" si="255"/>
        <v>0</v>
      </c>
      <c r="AA1369" s="831">
        <v>0</v>
      </c>
      <c r="AB1369" s="84">
        <f t="shared" si="264"/>
        <v>0</v>
      </c>
      <c r="AE1369" s="84">
        <f t="shared" si="256"/>
        <v>0</v>
      </c>
    </row>
    <row r="1370" spans="1:31" x14ac:dyDescent="0.25">
      <c r="A1370" s="84"/>
      <c r="B1370" s="84"/>
      <c r="C1370" s="84"/>
      <c r="D1370" s="84"/>
      <c r="E1370" s="760" t="s">
        <v>5265</v>
      </c>
      <c r="F1370" s="782">
        <v>465</v>
      </c>
      <c r="G1370" s="783" t="s">
        <v>4117</v>
      </c>
      <c r="H1370" s="763">
        <v>440000</v>
      </c>
      <c r="I1370" s="763">
        <f>314698.97+24136.34</f>
        <v>338835.31</v>
      </c>
      <c r="J1370" s="764">
        <f t="shared" si="257"/>
        <v>0.77008025000000002</v>
      </c>
      <c r="K1370" s="763">
        <f t="shared" si="258"/>
        <v>101164.69</v>
      </c>
      <c r="L1370" s="889">
        <v>0</v>
      </c>
      <c r="M1370" s="889">
        <v>0</v>
      </c>
      <c r="N1370" s="890"/>
      <c r="O1370" s="889">
        <f t="shared" si="259"/>
        <v>0</v>
      </c>
      <c r="P1370" s="889">
        <f t="shared" si="260"/>
        <v>440000</v>
      </c>
      <c r="Q1370" s="889">
        <f t="shared" si="261"/>
        <v>338835.31</v>
      </c>
      <c r="R1370" s="890">
        <f t="shared" si="262"/>
        <v>0.77008025000000002</v>
      </c>
      <c r="S1370" s="889">
        <f t="shared" si="263"/>
        <v>101164.69</v>
      </c>
      <c r="T1370" s="84"/>
      <c r="Z1370" s="830">
        <f t="shared" si="255"/>
        <v>440000</v>
      </c>
      <c r="AA1370" s="831">
        <v>440000</v>
      </c>
      <c r="AB1370" s="84">
        <f t="shared" si="264"/>
        <v>0</v>
      </c>
      <c r="AE1370" s="84">
        <f t="shared" si="256"/>
        <v>0</v>
      </c>
    </row>
    <row r="1371" spans="1:31" hidden="1" x14ac:dyDescent="0.25">
      <c r="A1371" s="84"/>
      <c r="B1371" s="84"/>
      <c r="C1371" s="84"/>
      <c r="D1371" s="84"/>
      <c r="F1371" s="782">
        <v>472</v>
      </c>
      <c r="G1371" s="783" t="s">
        <v>3817</v>
      </c>
      <c r="H1371" s="763">
        <v>0</v>
      </c>
      <c r="I1371" s="763">
        <v>0</v>
      </c>
      <c r="J1371" s="764" t="e">
        <f t="shared" si="257"/>
        <v>#DIV/0!</v>
      </c>
      <c r="K1371" s="763">
        <f t="shared" si="258"/>
        <v>0</v>
      </c>
      <c r="L1371" s="889">
        <v>0</v>
      </c>
      <c r="M1371" s="889">
        <v>0</v>
      </c>
      <c r="N1371" s="890"/>
      <c r="O1371" s="889">
        <f t="shared" si="259"/>
        <v>0</v>
      </c>
      <c r="P1371" s="889">
        <f t="shared" si="260"/>
        <v>0</v>
      </c>
      <c r="Q1371" s="889">
        <f t="shared" si="261"/>
        <v>0</v>
      </c>
      <c r="R1371" s="890" t="e">
        <f t="shared" si="262"/>
        <v>#DIV/0!</v>
      </c>
      <c r="S1371" s="889">
        <f t="shared" si="263"/>
        <v>0</v>
      </c>
      <c r="T1371" s="84"/>
      <c r="Z1371" s="830">
        <f t="shared" si="255"/>
        <v>0</v>
      </c>
      <c r="AA1371" s="831">
        <v>0</v>
      </c>
      <c r="AB1371" s="84">
        <f t="shared" si="264"/>
        <v>0</v>
      </c>
      <c r="AE1371" s="84">
        <f t="shared" si="256"/>
        <v>0</v>
      </c>
    </row>
    <row r="1372" spans="1:31" hidden="1" x14ac:dyDescent="0.25">
      <c r="A1372" s="84"/>
      <c r="B1372" s="84"/>
      <c r="C1372" s="84"/>
      <c r="D1372" s="84"/>
      <c r="F1372" s="782">
        <v>481</v>
      </c>
      <c r="G1372" s="783" t="s">
        <v>4136</v>
      </c>
      <c r="H1372" s="763">
        <v>0</v>
      </c>
      <c r="I1372" s="763">
        <v>0</v>
      </c>
      <c r="J1372" s="764" t="e">
        <f t="shared" si="257"/>
        <v>#DIV/0!</v>
      </c>
      <c r="K1372" s="763">
        <f t="shared" si="258"/>
        <v>0</v>
      </c>
      <c r="L1372" s="889">
        <v>0</v>
      </c>
      <c r="M1372" s="889">
        <v>0</v>
      </c>
      <c r="N1372" s="890"/>
      <c r="O1372" s="889">
        <f t="shared" si="259"/>
        <v>0</v>
      </c>
      <c r="P1372" s="889">
        <f t="shared" si="260"/>
        <v>0</v>
      </c>
      <c r="Q1372" s="889">
        <f t="shared" si="261"/>
        <v>0</v>
      </c>
      <c r="R1372" s="890" t="e">
        <f t="shared" si="262"/>
        <v>#DIV/0!</v>
      </c>
      <c r="S1372" s="889">
        <f t="shared" si="263"/>
        <v>0</v>
      </c>
      <c r="T1372" s="84"/>
      <c r="Z1372" s="830">
        <f t="shared" si="255"/>
        <v>0</v>
      </c>
      <c r="AA1372" s="831">
        <v>0</v>
      </c>
      <c r="AB1372" s="84">
        <f t="shared" si="264"/>
        <v>0</v>
      </c>
      <c r="AE1372" s="84">
        <f t="shared" si="256"/>
        <v>0</v>
      </c>
    </row>
    <row r="1373" spans="1:31" x14ac:dyDescent="0.25">
      <c r="A1373" s="84"/>
      <c r="B1373" s="84"/>
      <c r="C1373" s="84"/>
      <c r="D1373" s="84"/>
      <c r="E1373" s="760" t="s">
        <v>5266</v>
      </c>
      <c r="F1373" s="782">
        <v>482</v>
      </c>
      <c r="G1373" s="783" t="s">
        <v>4137</v>
      </c>
      <c r="H1373" s="763">
        <v>10000</v>
      </c>
      <c r="I1373" s="763">
        <v>700</v>
      </c>
      <c r="J1373" s="764">
        <f t="shared" si="257"/>
        <v>7.0000000000000007E-2</v>
      </c>
      <c r="K1373" s="763">
        <f t="shared" si="258"/>
        <v>9300</v>
      </c>
      <c r="L1373" s="889">
        <v>30000</v>
      </c>
      <c r="M1373" s="889">
        <v>0</v>
      </c>
      <c r="N1373" s="890">
        <f t="shared" ref="N1373:N1386" si="265">M1373/L1373</f>
        <v>0</v>
      </c>
      <c r="O1373" s="889">
        <f t="shared" si="259"/>
        <v>30000</v>
      </c>
      <c r="P1373" s="889">
        <f t="shared" si="260"/>
        <v>40000</v>
      </c>
      <c r="Q1373" s="889">
        <f t="shared" si="261"/>
        <v>700</v>
      </c>
      <c r="R1373" s="890">
        <f t="shared" si="262"/>
        <v>1.7500000000000002E-2</v>
      </c>
      <c r="S1373" s="889">
        <f t="shared" si="263"/>
        <v>39300</v>
      </c>
      <c r="T1373" s="84"/>
      <c r="Z1373" s="830">
        <f t="shared" si="255"/>
        <v>10000</v>
      </c>
      <c r="AA1373" s="831">
        <v>10000</v>
      </c>
      <c r="AB1373" s="84">
        <f t="shared" si="264"/>
        <v>0</v>
      </c>
      <c r="AE1373" s="84">
        <f t="shared" si="256"/>
        <v>0</v>
      </c>
    </row>
    <row r="1374" spans="1:31" hidden="1" x14ac:dyDescent="0.25">
      <c r="A1374" s="84"/>
      <c r="B1374" s="84"/>
      <c r="C1374" s="84"/>
      <c r="D1374" s="84"/>
      <c r="F1374" s="782">
        <v>483</v>
      </c>
      <c r="G1374" s="876" t="s">
        <v>4138</v>
      </c>
      <c r="H1374" s="763">
        <v>0</v>
      </c>
      <c r="I1374" s="763">
        <v>0</v>
      </c>
      <c r="J1374" s="764" t="e">
        <f t="shared" si="257"/>
        <v>#DIV/0!</v>
      </c>
      <c r="K1374" s="763">
        <f t="shared" si="258"/>
        <v>0</v>
      </c>
      <c r="L1374" s="1028">
        <v>0</v>
      </c>
      <c r="M1374" s="1028">
        <v>0</v>
      </c>
      <c r="N1374" s="1029" t="e">
        <f t="shared" si="265"/>
        <v>#DIV/0!</v>
      </c>
      <c r="O1374" s="1028">
        <f t="shared" si="259"/>
        <v>0</v>
      </c>
      <c r="P1374" s="1028">
        <f t="shared" si="260"/>
        <v>0</v>
      </c>
      <c r="Q1374" s="1028">
        <f t="shared" si="261"/>
        <v>0</v>
      </c>
      <c r="R1374" s="1029" t="e">
        <f t="shared" si="262"/>
        <v>#DIV/0!</v>
      </c>
      <c r="S1374" s="1028">
        <f t="shared" si="263"/>
        <v>0</v>
      </c>
      <c r="T1374" s="84"/>
      <c r="Z1374" s="830">
        <f t="shared" si="255"/>
        <v>0</v>
      </c>
      <c r="AA1374" s="831">
        <v>0</v>
      </c>
      <c r="AB1374" s="84">
        <f t="shared" si="264"/>
        <v>0</v>
      </c>
      <c r="AE1374" s="84">
        <f t="shared" si="256"/>
        <v>0</v>
      </c>
    </row>
    <row r="1375" spans="1:31" ht="45" hidden="1" x14ac:dyDescent="0.25">
      <c r="A1375" s="84"/>
      <c r="B1375" s="84"/>
      <c r="C1375" s="84"/>
      <c r="D1375" s="84"/>
      <c r="F1375" s="782">
        <v>484</v>
      </c>
      <c r="G1375" s="783" t="s">
        <v>4139</v>
      </c>
      <c r="H1375" s="763">
        <v>0</v>
      </c>
      <c r="I1375" s="763">
        <v>0</v>
      </c>
      <c r="J1375" s="764" t="e">
        <f t="shared" si="257"/>
        <v>#DIV/0!</v>
      </c>
      <c r="K1375" s="763">
        <f t="shared" si="258"/>
        <v>0</v>
      </c>
      <c r="L1375" s="1028">
        <v>0</v>
      </c>
      <c r="M1375" s="1028">
        <v>0</v>
      </c>
      <c r="N1375" s="1029" t="e">
        <f t="shared" si="265"/>
        <v>#DIV/0!</v>
      </c>
      <c r="O1375" s="1028">
        <f t="shared" si="259"/>
        <v>0</v>
      </c>
      <c r="P1375" s="1028">
        <f t="shared" si="260"/>
        <v>0</v>
      </c>
      <c r="Q1375" s="1028">
        <f t="shared" si="261"/>
        <v>0</v>
      </c>
      <c r="R1375" s="1029" t="e">
        <f t="shared" si="262"/>
        <v>#DIV/0!</v>
      </c>
      <c r="S1375" s="1028">
        <f t="shared" si="263"/>
        <v>0</v>
      </c>
      <c r="T1375" s="84"/>
      <c r="Z1375" s="830">
        <f t="shared" si="255"/>
        <v>0</v>
      </c>
      <c r="AA1375" s="831">
        <v>0</v>
      </c>
      <c r="AB1375" s="84">
        <f t="shared" si="264"/>
        <v>0</v>
      </c>
      <c r="AE1375" s="84">
        <f t="shared" si="256"/>
        <v>0</v>
      </c>
    </row>
    <row r="1376" spans="1:31" ht="30" hidden="1" x14ac:dyDescent="0.25">
      <c r="A1376" s="84"/>
      <c r="B1376" s="84"/>
      <c r="C1376" s="84"/>
      <c r="D1376" s="84"/>
      <c r="F1376" s="782">
        <v>485</v>
      </c>
      <c r="G1376" s="783" t="s">
        <v>4140</v>
      </c>
      <c r="H1376" s="763">
        <v>0</v>
      </c>
      <c r="I1376" s="763">
        <v>0</v>
      </c>
      <c r="J1376" s="764" t="e">
        <f t="shared" si="257"/>
        <v>#DIV/0!</v>
      </c>
      <c r="K1376" s="763">
        <f t="shared" si="258"/>
        <v>0</v>
      </c>
      <c r="L1376" s="1028">
        <v>0</v>
      </c>
      <c r="M1376" s="1028">
        <v>0</v>
      </c>
      <c r="N1376" s="1029" t="e">
        <f t="shared" si="265"/>
        <v>#DIV/0!</v>
      </c>
      <c r="O1376" s="1028">
        <f t="shared" si="259"/>
        <v>0</v>
      </c>
      <c r="P1376" s="1028">
        <f t="shared" si="260"/>
        <v>0</v>
      </c>
      <c r="Q1376" s="1028">
        <f t="shared" si="261"/>
        <v>0</v>
      </c>
      <c r="R1376" s="1029" t="e">
        <f t="shared" si="262"/>
        <v>#DIV/0!</v>
      </c>
      <c r="S1376" s="1028">
        <f t="shared" si="263"/>
        <v>0</v>
      </c>
      <c r="T1376" s="84"/>
      <c r="Z1376" s="830">
        <f t="shared" si="255"/>
        <v>0</v>
      </c>
      <c r="AA1376" s="831">
        <v>0</v>
      </c>
      <c r="AB1376" s="84">
        <f t="shared" si="264"/>
        <v>0</v>
      </c>
      <c r="AE1376" s="84">
        <f t="shared" si="256"/>
        <v>0</v>
      </c>
    </row>
    <row r="1377" spans="1:33" ht="30" hidden="1" x14ac:dyDescent="0.25">
      <c r="A1377" s="84"/>
      <c r="B1377" s="84"/>
      <c r="C1377" s="84"/>
      <c r="D1377" s="84"/>
      <c r="F1377" s="782">
        <v>489</v>
      </c>
      <c r="G1377" s="783" t="s">
        <v>3825</v>
      </c>
      <c r="H1377" s="763">
        <v>0</v>
      </c>
      <c r="I1377" s="763">
        <v>0</v>
      </c>
      <c r="J1377" s="764" t="e">
        <f t="shared" si="257"/>
        <v>#DIV/0!</v>
      </c>
      <c r="K1377" s="763">
        <f t="shared" si="258"/>
        <v>0</v>
      </c>
      <c r="L1377" s="1028">
        <v>0</v>
      </c>
      <c r="M1377" s="1028">
        <v>0</v>
      </c>
      <c r="N1377" s="1029" t="e">
        <f t="shared" si="265"/>
        <v>#DIV/0!</v>
      </c>
      <c r="O1377" s="1028">
        <f t="shared" si="259"/>
        <v>0</v>
      </c>
      <c r="P1377" s="1028">
        <f t="shared" si="260"/>
        <v>0</v>
      </c>
      <c r="Q1377" s="1028">
        <f t="shared" si="261"/>
        <v>0</v>
      </c>
      <c r="R1377" s="1029" t="e">
        <f t="shared" si="262"/>
        <v>#DIV/0!</v>
      </c>
      <c r="S1377" s="1028">
        <f t="shared" si="263"/>
        <v>0</v>
      </c>
      <c r="T1377" s="84"/>
      <c r="Z1377" s="830">
        <f t="shared" si="255"/>
        <v>0</v>
      </c>
      <c r="AA1377" s="831">
        <v>0</v>
      </c>
      <c r="AB1377" s="84">
        <f t="shared" si="264"/>
        <v>0</v>
      </c>
      <c r="AE1377" s="84">
        <f t="shared" si="256"/>
        <v>0</v>
      </c>
    </row>
    <row r="1378" spans="1:33" ht="30" hidden="1" x14ac:dyDescent="0.25">
      <c r="A1378" s="84"/>
      <c r="B1378" s="84"/>
      <c r="C1378" s="84"/>
      <c r="D1378" s="84"/>
      <c r="F1378" s="782">
        <v>494</v>
      </c>
      <c r="G1378" s="783" t="s">
        <v>4118</v>
      </c>
      <c r="H1378" s="763">
        <v>0</v>
      </c>
      <c r="I1378" s="763">
        <v>0</v>
      </c>
      <c r="J1378" s="764" t="e">
        <f t="shared" si="257"/>
        <v>#DIV/0!</v>
      </c>
      <c r="K1378" s="763">
        <f t="shared" si="258"/>
        <v>0</v>
      </c>
      <c r="L1378" s="1028">
        <v>0</v>
      </c>
      <c r="M1378" s="1028">
        <v>0</v>
      </c>
      <c r="N1378" s="1029" t="e">
        <f t="shared" si="265"/>
        <v>#DIV/0!</v>
      </c>
      <c r="O1378" s="1028">
        <f t="shared" si="259"/>
        <v>0</v>
      </c>
      <c r="P1378" s="1028">
        <f t="shared" si="260"/>
        <v>0</v>
      </c>
      <c r="Q1378" s="1028">
        <f t="shared" si="261"/>
        <v>0</v>
      </c>
      <c r="R1378" s="1029" t="e">
        <f t="shared" si="262"/>
        <v>#DIV/0!</v>
      </c>
      <c r="S1378" s="1028">
        <f t="shared" si="263"/>
        <v>0</v>
      </c>
      <c r="T1378" s="84"/>
      <c r="Z1378" s="830">
        <f t="shared" si="255"/>
        <v>0</v>
      </c>
      <c r="AA1378" s="831">
        <v>0</v>
      </c>
      <c r="AB1378" s="84">
        <f t="shared" si="264"/>
        <v>0</v>
      </c>
      <c r="AE1378" s="84">
        <f t="shared" si="256"/>
        <v>0</v>
      </c>
    </row>
    <row r="1379" spans="1:33" ht="30" hidden="1" x14ac:dyDescent="0.25">
      <c r="A1379" s="84"/>
      <c r="B1379" s="84"/>
      <c r="C1379" s="84"/>
      <c r="D1379" s="84"/>
      <c r="F1379" s="782">
        <v>495</v>
      </c>
      <c r="G1379" s="783" t="s">
        <v>4119</v>
      </c>
      <c r="H1379" s="763">
        <v>0</v>
      </c>
      <c r="I1379" s="763">
        <v>0</v>
      </c>
      <c r="J1379" s="764" t="e">
        <f t="shared" si="257"/>
        <v>#DIV/0!</v>
      </c>
      <c r="K1379" s="763">
        <f t="shared" si="258"/>
        <v>0</v>
      </c>
      <c r="L1379" s="1028">
        <v>0</v>
      </c>
      <c r="M1379" s="1028">
        <v>0</v>
      </c>
      <c r="N1379" s="1029" t="e">
        <f t="shared" si="265"/>
        <v>#DIV/0!</v>
      </c>
      <c r="O1379" s="1028">
        <f t="shared" si="259"/>
        <v>0</v>
      </c>
      <c r="P1379" s="1028">
        <f t="shared" si="260"/>
        <v>0</v>
      </c>
      <c r="Q1379" s="1028">
        <f t="shared" si="261"/>
        <v>0</v>
      </c>
      <c r="R1379" s="1029" t="e">
        <f t="shared" si="262"/>
        <v>#DIV/0!</v>
      </c>
      <c r="S1379" s="1028">
        <f t="shared" si="263"/>
        <v>0</v>
      </c>
      <c r="T1379" s="84"/>
      <c r="Z1379" s="830">
        <f t="shared" si="255"/>
        <v>0</v>
      </c>
      <c r="AA1379" s="831">
        <v>0</v>
      </c>
      <c r="AB1379" s="84">
        <f t="shared" si="264"/>
        <v>0</v>
      </c>
      <c r="AE1379" s="84">
        <f t="shared" si="256"/>
        <v>0</v>
      </c>
    </row>
    <row r="1380" spans="1:33" ht="45" hidden="1" x14ac:dyDescent="0.25">
      <c r="A1380" s="84"/>
      <c r="B1380" s="84"/>
      <c r="C1380" s="84"/>
      <c r="D1380" s="84"/>
      <c r="F1380" s="782">
        <v>496</v>
      </c>
      <c r="G1380" s="783" t="s">
        <v>4120</v>
      </c>
      <c r="H1380" s="763">
        <v>0</v>
      </c>
      <c r="I1380" s="763">
        <v>0</v>
      </c>
      <c r="J1380" s="764" t="e">
        <f t="shared" si="257"/>
        <v>#DIV/0!</v>
      </c>
      <c r="K1380" s="763">
        <f t="shared" si="258"/>
        <v>0</v>
      </c>
      <c r="L1380" s="1028">
        <v>0</v>
      </c>
      <c r="M1380" s="1028">
        <v>0</v>
      </c>
      <c r="N1380" s="1029" t="e">
        <f t="shared" si="265"/>
        <v>#DIV/0!</v>
      </c>
      <c r="O1380" s="1028">
        <f t="shared" si="259"/>
        <v>0</v>
      </c>
      <c r="P1380" s="1028">
        <f t="shared" si="260"/>
        <v>0</v>
      </c>
      <c r="Q1380" s="1028">
        <f t="shared" si="261"/>
        <v>0</v>
      </c>
      <c r="R1380" s="1029" t="e">
        <f t="shared" si="262"/>
        <v>#DIV/0!</v>
      </c>
      <c r="S1380" s="1028">
        <f t="shared" si="263"/>
        <v>0</v>
      </c>
      <c r="T1380" s="84"/>
      <c r="Z1380" s="830">
        <f t="shared" si="255"/>
        <v>0</v>
      </c>
      <c r="AA1380" s="831">
        <v>0</v>
      </c>
      <c r="AB1380" s="84">
        <f t="shared" si="264"/>
        <v>0</v>
      </c>
      <c r="AE1380" s="84">
        <f t="shared" si="256"/>
        <v>0</v>
      </c>
    </row>
    <row r="1381" spans="1:33" ht="30" hidden="1" x14ac:dyDescent="0.25">
      <c r="A1381" s="84"/>
      <c r="B1381" s="84"/>
      <c r="C1381" s="84"/>
      <c r="D1381" s="84"/>
      <c r="F1381" s="782">
        <v>499</v>
      </c>
      <c r="G1381" s="783" t="s">
        <v>4121</v>
      </c>
      <c r="H1381" s="763">
        <v>0</v>
      </c>
      <c r="I1381" s="763">
        <v>0</v>
      </c>
      <c r="J1381" s="764" t="e">
        <f t="shared" si="257"/>
        <v>#DIV/0!</v>
      </c>
      <c r="K1381" s="763">
        <f t="shared" si="258"/>
        <v>0</v>
      </c>
      <c r="L1381" s="1028">
        <v>0</v>
      </c>
      <c r="M1381" s="1028">
        <v>0</v>
      </c>
      <c r="N1381" s="1029" t="e">
        <f t="shared" si="265"/>
        <v>#DIV/0!</v>
      </c>
      <c r="O1381" s="1028">
        <f t="shared" si="259"/>
        <v>0</v>
      </c>
      <c r="P1381" s="1028">
        <f t="shared" si="260"/>
        <v>0</v>
      </c>
      <c r="Q1381" s="1028">
        <f t="shared" si="261"/>
        <v>0</v>
      </c>
      <c r="R1381" s="1029" t="e">
        <f t="shared" si="262"/>
        <v>#DIV/0!</v>
      </c>
      <c r="S1381" s="1028">
        <f t="shared" si="263"/>
        <v>0</v>
      </c>
      <c r="T1381" s="84"/>
      <c r="Z1381" s="830">
        <f t="shared" si="255"/>
        <v>0</v>
      </c>
      <c r="AA1381" s="831">
        <v>0</v>
      </c>
      <c r="AB1381" s="84">
        <f t="shared" si="264"/>
        <v>0</v>
      </c>
      <c r="AE1381" s="84">
        <f t="shared" si="256"/>
        <v>0</v>
      </c>
    </row>
    <row r="1382" spans="1:33" hidden="1" x14ac:dyDescent="0.25">
      <c r="A1382" s="84"/>
      <c r="B1382" s="84"/>
      <c r="C1382" s="84"/>
      <c r="D1382" s="84"/>
      <c r="F1382" s="782">
        <v>511</v>
      </c>
      <c r="G1382" s="876" t="s">
        <v>4141</v>
      </c>
      <c r="H1382" s="763">
        <v>0</v>
      </c>
      <c r="I1382" s="763">
        <v>0</v>
      </c>
      <c r="J1382" s="764" t="e">
        <f t="shared" si="257"/>
        <v>#DIV/0!</v>
      </c>
      <c r="K1382" s="763">
        <f t="shared" si="258"/>
        <v>0</v>
      </c>
      <c r="L1382" s="1028">
        <v>0</v>
      </c>
      <c r="M1382" s="1028">
        <v>0</v>
      </c>
      <c r="N1382" s="1029" t="e">
        <f t="shared" si="265"/>
        <v>#DIV/0!</v>
      </c>
      <c r="O1382" s="1028">
        <f t="shared" si="259"/>
        <v>0</v>
      </c>
      <c r="P1382" s="1028">
        <f t="shared" si="260"/>
        <v>0</v>
      </c>
      <c r="Q1382" s="1028">
        <f t="shared" si="261"/>
        <v>0</v>
      </c>
      <c r="R1382" s="1029" t="e">
        <f t="shared" si="262"/>
        <v>#DIV/0!</v>
      </c>
      <c r="S1382" s="1028">
        <f t="shared" si="263"/>
        <v>0</v>
      </c>
      <c r="T1382" s="84"/>
      <c r="Z1382" s="830">
        <f t="shared" si="255"/>
        <v>0</v>
      </c>
      <c r="AA1382" s="831">
        <v>0</v>
      </c>
      <c r="AB1382" s="84">
        <f t="shared" si="264"/>
        <v>0</v>
      </c>
      <c r="AE1382" s="84">
        <f t="shared" si="256"/>
        <v>0</v>
      </c>
    </row>
    <row r="1383" spans="1:33" x14ac:dyDescent="0.25">
      <c r="A1383" s="84"/>
      <c r="B1383" s="84"/>
      <c r="C1383" s="84"/>
      <c r="D1383" s="84"/>
      <c r="E1383" s="760" t="s">
        <v>5267</v>
      </c>
      <c r="F1383" s="782">
        <v>512</v>
      </c>
      <c r="G1383" s="876" t="s">
        <v>4142</v>
      </c>
      <c r="H1383" s="763">
        <f>290000-100000</f>
        <v>190000</v>
      </c>
      <c r="I1383" s="763">
        <v>0</v>
      </c>
      <c r="J1383" s="764">
        <f t="shared" si="257"/>
        <v>0</v>
      </c>
      <c r="K1383" s="763">
        <f t="shared" si="258"/>
        <v>190000</v>
      </c>
      <c r="L1383" s="889">
        <v>30000</v>
      </c>
      <c r="M1383" s="889">
        <v>0</v>
      </c>
      <c r="N1383" s="890">
        <f t="shared" si="265"/>
        <v>0</v>
      </c>
      <c r="O1383" s="889">
        <f t="shared" si="259"/>
        <v>30000</v>
      </c>
      <c r="P1383" s="889">
        <f t="shared" si="260"/>
        <v>220000</v>
      </c>
      <c r="Q1383" s="889">
        <f t="shared" si="261"/>
        <v>0</v>
      </c>
      <c r="R1383" s="890">
        <f t="shared" si="262"/>
        <v>0</v>
      </c>
      <c r="S1383" s="889">
        <f t="shared" si="263"/>
        <v>220000</v>
      </c>
      <c r="T1383" s="84"/>
      <c r="X1383" s="833">
        <v>80000</v>
      </c>
      <c r="Z1383" s="830">
        <f t="shared" si="255"/>
        <v>110000</v>
      </c>
      <c r="AA1383" s="831">
        <v>500000</v>
      </c>
      <c r="AB1383" s="84">
        <f t="shared" si="264"/>
        <v>-390000</v>
      </c>
      <c r="AE1383" s="84">
        <f t="shared" si="256"/>
        <v>-310000</v>
      </c>
      <c r="AG1383" s="203"/>
    </row>
    <row r="1384" spans="1:33" hidden="1" x14ac:dyDescent="0.25">
      <c r="A1384" s="84"/>
      <c r="B1384" s="84"/>
      <c r="C1384" s="84"/>
      <c r="D1384" s="84"/>
      <c r="F1384" s="782">
        <v>513</v>
      </c>
      <c r="G1384" s="876" t="s">
        <v>4143</v>
      </c>
      <c r="H1384" s="763">
        <v>0</v>
      </c>
      <c r="I1384" s="763">
        <v>0</v>
      </c>
      <c r="J1384" s="764" t="e">
        <f t="shared" si="257"/>
        <v>#DIV/0!</v>
      </c>
      <c r="K1384" s="763">
        <f t="shared" si="258"/>
        <v>0</v>
      </c>
      <c r="L1384" s="1028">
        <v>0</v>
      </c>
      <c r="M1384" s="1028">
        <v>0</v>
      </c>
      <c r="N1384" s="1029" t="e">
        <f t="shared" si="265"/>
        <v>#DIV/0!</v>
      </c>
      <c r="O1384" s="1028">
        <f t="shared" si="259"/>
        <v>0</v>
      </c>
      <c r="P1384" s="1028">
        <f t="shared" si="260"/>
        <v>0</v>
      </c>
      <c r="Q1384" s="1028">
        <f t="shared" si="261"/>
        <v>0</v>
      </c>
      <c r="R1384" s="1029" t="e">
        <f t="shared" si="262"/>
        <v>#DIV/0!</v>
      </c>
      <c r="S1384" s="1028">
        <f t="shared" si="263"/>
        <v>0</v>
      </c>
      <c r="T1384" s="84"/>
      <c r="Z1384" s="830">
        <f t="shared" si="255"/>
        <v>0</v>
      </c>
      <c r="AA1384" s="831">
        <v>0</v>
      </c>
      <c r="AB1384" s="84">
        <f t="shared" si="264"/>
        <v>0</v>
      </c>
      <c r="AE1384" s="84">
        <f t="shared" si="256"/>
        <v>0</v>
      </c>
    </row>
    <row r="1385" spans="1:33" hidden="1" x14ac:dyDescent="0.25">
      <c r="A1385" s="84"/>
      <c r="B1385" s="84"/>
      <c r="C1385" s="84"/>
      <c r="D1385" s="84"/>
      <c r="F1385" s="782">
        <v>514</v>
      </c>
      <c r="G1385" s="783" t="s">
        <v>4144</v>
      </c>
      <c r="H1385" s="763">
        <v>0</v>
      </c>
      <c r="I1385" s="763">
        <v>0</v>
      </c>
      <c r="J1385" s="764" t="e">
        <f t="shared" si="257"/>
        <v>#DIV/0!</v>
      </c>
      <c r="K1385" s="763">
        <f t="shared" si="258"/>
        <v>0</v>
      </c>
      <c r="L1385" s="1028">
        <v>0</v>
      </c>
      <c r="M1385" s="1028">
        <v>0</v>
      </c>
      <c r="N1385" s="1029" t="e">
        <f t="shared" si="265"/>
        <v>#DIV/0!</v>
      </c>
      <c r="O1385" s="1028">
        <f t="shared" si="259"/>
        <v>0</v>
      </c>
      <c r="P1385" s="1028">
        <f t="shared" si="260"/>
        <v>0</v>
      </c>
      <c r="Q1385" s="1028">
        <f t="shared" si="261"/>
        <v>0</v>
      </c>
      <c r="R1385" s="1029" t="e">
        <f t="shared" si="262"/>
        <v>#DIV/0!</v>
      </c>
      <c r="S1385" s="1028">
        <f t="shared" si="263"/>
        <v>0</v>
      </c>
      <c r="T1385" s="84"/>
      <c r="Z1385" s="830">
        <f t="shared" si="255"/>
        <v>0</v>
      </c>
      <c r="AA1385" s="831">
        <v>0</v>
      </c>
      <c r="AB1385" s="84">
        <f t="shared" si="264"/>
        <v>0</v>
      </c>
      <c r="AE1385" s="84">
        <f t="shared" si="256"/>
        <v>0</v>
      </c>
    </row>
    <row r="1386" spans="1:33" ht="15.75" thickBot="1" x14ac:dyDescent="0.3">
      <c r="A1386" s="84"/>
      <c r="B1386" s="84"/>
      <c r="C1386" s="84"/>
      <c r="D1386" s="84"/>
      <c r="E1386" s="760" t="s">
        <v>3882</v>
      </c>
      <c r="F1386" s="782">
        <v>515</v>
      </c>
      <c r="G1386" s="783" t="s">
        <v>3836</v>
      </c>
      <c r="H1386" s="763">
        <v>450000</v>
      </c>
      <c r="I1386" s="763">
        <f>142598.5+990</f>
        <v>143588.5</v>
      </c>
      <c r="J1386" s="764">
        <f t="shared" si="257"/>
        <v>0.31908555555555557</v>
      </c>
      <c r="K1386" s="763">
        <f t="shared" si="258"/>
        <v>306411.5</v>
      </c>
      <c r="L1386" s="889">
        <v>100000</v>
      </c>
      <c r="M1386" s="889">
        <v>2580</v>
      </c>
      <c r="N1386" s="890">
        <f t="shared" si="265"/>
        <v>2.58E-2</v>
      </c>
      <c r="O1386" s="889">
        <f t="shared" si="259"/>
        <v>97420</v>
      </c>
      <c r="P1386" s="889">
        <f t="shared" si="260"/>
        <v>550000</v>
      </c>
      <c r="Q1386" s="889">
        <f t="shared" si="261"/>
        <v>146168.5</v>
      </c>
      <c r="R1386" s="890">
        <f t="shared" si="262"/>
        <v>0.2657609090909091</v>
      </c>
      <c r="S1386" s="889">
        <f t="shared" si="263"/>
        <v>403831.5</v>
      </c>
      <c r="T1386" s="84"/>
      <c r="Z1386" s="830">
        <f t="shared" si="255"/>
        <v>450000</v>
      </c>
      <c r="AA1386" s="831">
        <v>450000</v>
      </c>
      <c r="AB1386" s="84">
        <f t="shared" si="264"/>
        <v>0</v>
      </c>
      <c r="AE1386" s="84">
        <f t="shared" si="256"/>
        <v>0</v>
      </c>
    </row>
    <row r="1387" spans="1:33" ht="15.75" hidden="1" thickBot="1" x14ac:dyDescent="0.3">
      <c r="A1387" s="84"/>
      <c r="B1387" s="84"/>
      <c r="C1387" s="84"/>
      <c r="D1387" s="84"/>
      <c r="F1387" s="782">
        <v>521</v>
      </c>
      <c r="G1387" s="783" t="s">
        <v>4145</v>
      </c>
      <c r="L1387" s="889"/>
      <c r="M1387" s="889"/>
      <c r="N1387" s="890"/>
      <c r="O1387" s="889"/>
      <c r="P1387" s="889"/>
      <c r="Q1387" s="889"/>
      <c r="R1387" s="890"/>
      <c r="S1387" s="889">
        <f t="shared" ref="S1387:S1396" si="266">SUM(H1387:L1387)</f>
        <v>0</v>
      </c>
      <c r="T1387" s="84"/>
      <c r="AB1387" s="84">
        <f t="shared" si="264"/>
        <v>0</v>
      </c>
    </row>
    <row r="1388" spans="1:33" ht="15.75" hidden="1" thickBot="1" x14ac:dyDescent="0.3">
      <c r="A1388" s="84"/>
      <c r="B1388" s="84"/>
      <c r="C1388" s="84"/>
      <c r="D1388" s="84"/>
      <c r="F1388" s="782">
        <v>522</v>
      </c>
      <c r="G1388" s="783" t="s">
        <v>4146</v>
      </c>
      <c r="L1388" s="889"/>
      <c r="M1388" s="889"/>
      <c r="N1388" s="890"/>
      <c r="O1388" s="889"/>
      <c r="P1388" s="889"/>
      <c r="Q1388" s="889"/>
      <c r="R1388" s="890"/>
      <c r="S1388" s="889">
        <f t="shared" si="266"/>
        <v>0</v>
      </c>
      <c r="T1388" s="84"/>
      <c r="V1388" s="84"/>
      <c r="W1388" s="84"/>
      <c r="X1388" s="1030"/>
      <c r="Y1388" s="1031"/>
      <c r="Z1388" s="1032"/>
      <c r="AA1388" s="1033"/>
      <c r="AB1388" s="84">
        <f t="shared" si="264"/>
        <v>0</v>
      </c>
    </row>
    <row r="1389" spans="1:33" ht="15.75" hidden="1" thickBot="1" x14ac:dyDescent="0.3">
      <c r="A1389" s="84"/>
      <c r="B1389" s="84"/>
      <c r="C1389" s="84"/>
      <c r="D1389" s="84"/>
      <c r="F1389" s="782">
        <v>523</v>
      </c>
      <c r="G1389" s="783" t="s">
        <v>3841</v>
      </c>
      <c r="L1389" s="889"/>
      <c r="M1389" s="889"/>
      <c r="N1389" s="890"/>
      <c r="O1389" s="889"/>
      <c r="P1389" s="889"/>
      <c r="Q1389" s="889"/>
      <c r="R1389" s="890"/>
      <c r="S1389" s="889">
        <f t="shared" si="266"/>
        <v>0</v>
      </c>
      <c r="T1389" s="84"/>
      <c r="V1389" s="84"/>
      <c r="W1389" s="84"/>
      <c r="X1389" s="1030"/>
      <c r="Y1389" s="1031"/>
      <c r="Z1389" s="1032"/>
      <c r="AA1389" s="1033"/>
      <c r="AB1389" s="84">
        <f t="shared" si="264"/>
        <v>0</v>
      </c>
    </row>
    <row r="1390" spans="1:33" ht="15.75" hidden="1" thickBot="1" x14ac:dyDescent="0.3">
      <c r="A1390" s="84"/>
      <c r="B1390" s="84"/>
      <c r="C1390" s="84"/>
      <c r="D1390" s="84"/>
      <c r="F1390" s="782">
        <v>531</v>
      </c>
      <c r="G1390" s="783" t="s">
        <v>4122</v>
      </c>
      <c r="L1390" s="889"/>
      <c r="M1390" s="889"/>
      <c r="N1390" s="890"/>
      <c r="O1390" s="889"/>
      <c r="P1390" s="889"/>
      <c r="Q1390" s="889"/>
      <c r="R1390" s="890"/>
      <c r="S1390" s="889">
        <f t="shared" si="266"/>
        <v>0</v>
      </c>
      <c r="T1390" s="84"/>
      <c r="V1390" s="84"/>
      <c r="W1390" s="84"/>
      <c r="X1390" s="1030"/>
      <c r="Y1390" s="1031"/>
      <c r="Z1390" s="1032"/>
      <c r="AA1390" s="1033"/>
      <c r="AB1390" s="84">
        <f t="shared" si="264"/>
        <v>0</v>
      </c>
    </row>
    <row r="1391" spans="1:33" ht="15.75" hidden="1" thickBot="1" x14ac:dyDescent="0.3">
      <c r="A1391" s="84"/>
      <c r="B1391" s="84"/>
      <c r="C1391" s="84"/>
      <c r="D1391" s="84"/>
      <c r="F1391" s="782">
        <v>541</v>
      </c>
      <c r="G1391" s="783" t="s">
        <v>4147</v>
      </c>
      <c r="L1391" s="889"/>
      <c r="M1391" s="889"/>
      <c r="N1391" s="890"/>
      <c r="O1391" s="889"/>
      <c r="P1391" s="889"/>
      <c r="Q1391" s="889"/>
      <c r="R1391" s="890"/>
      <c r="S1391" s="889">
        <f t="shared" si="266"/>
        <v>0</v>
      </c>
      <c r="T1391" s="84"/>
      <c r="V1391" s="84"/>
      <c r="W1391" s="84"/>
      <c r="X1391" s="1030"/>
      <c r="Y1391" s="1031"/>
      <c r="Z1391" s="1032"/>
      <c r="AA1391" s="1033"/>
      <c r="AB1391" s="84">
        <f t="shared" si="264"/>
        <v>0</v>
      </c>
    </row>
    <row r="1392" spans="1:33" ht="15.75" hidden="1" thickBot="1" x14ac:dyDescent="0.3">
      <c r="A1392" s="84"/>
      <c r="B1392" s="84"/>
      <c r="C1392" s="84"/>
      <c r="D1392" s="84"/>
      <c r="F1392" s="782">
        <v>542</v>
      </c>
      <c r="G1392" s="783" t="s">
        <v>4148</v>
      </c>
      <c r="L1392" s="889"/>
      <c r="M1392" s="889"/>
      <c r="N1392" s="890"/>
      <c r="O1392" s="889"/>
      <c r="P1392" s="889"/>
      <c r="Q1392" s="889"/>
      <c r="R1392" s="890"/>
      <c r="S1392" s="889">
        <f t="shared" si="266"/>
        <v>0</v>
      </c>
      <c r="T1392" s="84"/>
      <c r="V1392" s="84"/>
      <c r="W1392" s="84"/>
      <c r="X1392" s="1030"/>
      <c r="Y1392" s="1031"/>
      <c r="Z1392" s="1032"/>
      <c r="AA1392" s="1033"/>
      <c r="AB1392" s="84">
        <f t="shared" si="264"/>
        <v>0</v>
      </c>
    </row>
    <row r="1393" spans="1:28" ht="15.75" hidden="1" thickBot="1" x14ac:dyDescent="0.3">
      <c r="A1393" s="84"/>
      <c r="B1393" s="84"/>
      <c r="C1393" s="84"/>
      <c r="D1393" s="84"/>
      <c r="F1393" s="782">
        <v>543</v>
      </c>
      <c r="G1393" s="783" t="s">
        <v>3846</v>
      </c>
      <c r="L1393" s="889"/>
      <c r="M1393" s="889"/>
      <c r="N1393" s="890"/>
      <c r="O1393" s="889"/>
      <c r="P1393" s="889"/>
      <c r="Q1393" s="889"/>
      <c r="R1393" s="890"/>
      <c r="S1393" s="889">
        <f t="shared" si="266"/>
        <v>0</v>
      </c>
      <c r="T1393" s="84"/>
      <c r="V1393" s="84"/>
      <c r="W1393" s="84"/>
      <c r="X1393" s="1030"/>
      <c r="Y1393" s="1031"/>
      <c r="Z1393" s="1032"/>
      <c r="AA1393" s="1033"/>
      <c r="AB1393" s="84">
        <f t="shared" si="264"/>
        <v>0</v>
      </c>
    </row>
    <row r="1394" spans="1:28" ht="45.75" hidden="1" thickBot="1" x14ac:dyDescent="0.3">
      <c r="A1394" s="84"/>
      <c r="B1394" s="84"/>
      <c r="C1394" s="84"/>
      <c r="D1394" s="84"/>
      <c r="F1394" s="782">
        <v>551</v>
      </c>
      <c r="G1394" s="783" t="s">
        <v>4123</v>
      </c>
      <c r="L1394" s="889"/>
      <c r="M1394" s="889"/>
      <c r="N1394" s="890"/>
      <c r="O1394" s="889"/>
      <c r="P1394" s="889"/>
      <c r="Q1394" s="889"/>
      <c r="R1394" s="890"/>
      <c r="S1394" s="889">
        <f t="shared" si="266"/>
        <v>0</v>
      </c>
      <c r="T1394" s="84"/>
      <c r="V1394" s="84"/>
      <c r="W1394" s="84"/>
      <c r="X1394" s="1030"/>
      <c r="Y1394" s="1031"/>
      <c r="Z1394" s="1032"/>
      <c r="AA1394" s="1033"/>
      <c r="AB1394" s="84">
        <f t="shared" si="264"/>
        <v>0</v>
      </c>
    </row>
    <row r="1395" spans="1:28" ht="15.75" hidden="1" thickBot="1" x14ac:dyDescent="0.3">
      <c r="A1395" s="84"/>
      <c r="B1395" s="84"/>
      <c r="C1395" s="84"/>
      <c r="D1395" s="84"/>
      <c r="F1395" s="785">
        <v>611</v>
      </c>
      <c r="G1395" s="876" t="s">
        <v>3852</v>
      </c>
      <c r="H1395" s="794"/>
      <c r="I1395" s="794"/>
      <c r="J1395" s="795"/>
      <c r="K1395" s="794"/>
      <c r="L1395" s="889"/>
      <c r="M1395" s="889"/>
      <c r="N1395" s="890"/>
      <c r="O1395" s="889"/>
      <c r="P1395" s="889"/>
      <c r="Q1395" s="889"/>
      <c r="R1395" s="890"/>
      <c r="S1395" s="889">
        <f t="shared" si="266"/>
        <v>0</v>
      </c>
      <c r="T1395" s="84"/>
      <c r="V1395" s="84"/>
      <c r="W1395" s="84"/>
      <c r="X1395" s="1030"/>
      <c r="Y1395" s="1031"/>
      <c r="Z1395" s="1032"/>
      <c r="AA1395" s="1033"/>
      <c r="AB1395" s="84">
        <f t="shared" si="264"/>
        <v>0</v>
      </c>
    </row>
    <row r="1396" spans="1:28" ht="15.75" hidden="1" thickBot="1" x14ac:dyDescent="0.3">
      <c r="A1396" s="84"/>
      <c r="B1396" s="84"/>
      <c r="C1396" s="84"/>
      <c r="D1396" s="84"/>
      <c r="F1396" s="785">
        <v>620</v>
      </c>
      <c r="G1396" s="876" t="s">
        <v>89</v>
      </c>
      <c r="H1396" s="794"/>
      <c r="I1396" s="794"/>
      <c r="J1396" s="795"/>
      <c r="K1396" s="794"/>
      <c r="L1396" s="889"/>
      <c r="M1396" s="889"/>
      <c r="N1396" s="890"/>
      <c r="O1396" s="889"/>
      <c r="P1396" s="889"/>
      <c r="Q1396" s="889"/>
      <c r="R1396" s="890"/>
      <c r="S1396" s="889">
        <f t="shared" si="266"/>
        <v>0</v>
      </c>
      <c r="T1396" s="84"/>
      <c r="V1396" s="84"/>
      <c r="W1396" s="84"/>
      <c r="X1396" s="1030"/>
      <c r="Y1396" s="1031"/>
      <c r="Z1396" s="1032"/>
      <c r="AA1396" s="1033"/>
      <c r="AB1396" s="84">
        <f t="shared" si="264"/>
        <v>0</v>
      </c>
    </row>
    <row r="1397" spans="1:28" x14ac:dyDescent="0.25">
      <c r="A1397" s="84"/>
      <c r="B1397" s="84"/>
      <c r="C1397" s="84"/>
      <c r="D1397" s="84"/>
      <c r="E1397" s="784"/>
      <c r="F1397" s="785"/>
      <c r="G1397" s="786" t="s">
        <v>4194</v>
      </c>
      <c r="H1397" s="787"/>
      <c r="I1397" s="787"/>
      <c r="J1397" s="788"/>
      <c r="K1397" s="787"/>
      <c r="L1397" s="913"/>
      <c r="M1397" s="913"/>
      <c r="N1397" s="914"/>
      <c r="O1397" s="913"/>
      <c r="P1397" s="913"/>
      <c r="Q1397" s="913"/>
      <c r="R1397" s="914"/>
      <c r="S1397" s="911"/>
      <c r="T1397" s="84"/>
      <c r="V1397" s="84"/>
      <c r="W1397" s="84"/>
      <c r="X1397" s="1030"/>
      <c r="Y1397" s="1031"/>
      <c r="Z1397" s="1032"/>
      <c r="AA1397" s="1033"/>
      <c r="AB1397" s="84">
        <f t="shared" si="264"/>
        <v>0</v>
      </c>
    </row>
    <row r="1398" spans="1:28" x14ac:dyDescent="0.25">
      <c r="A1398" s="84"/>
      <c r="B1398" s="84"/>
      <c r="C1398" s="84"/>
      <c r="D1398" s="84"/>
      <c r="E1398" s="791"/>
      <c r="F1398" s="792" t="s">
        <v>235</v>
      </c>
      <c r="G1398" s="793" t="s">
        <v>236</v>
      </c>
      <c r="H1398" s="794">
        <f>SUM(H1337:H1386)</f>
        <v>12289604</v>
      </c>
      <c r="I1398" s="794">
        <f>SUM(I1337:I1396)</f>
        <v>7586879.4400000004</v>
      </c>
      <c r="J1398" s="795">
        <f>I1398/H1398</f>
        <v>0.61734124549497282</v>
      </c>
      <c r="K1398" s="794">
        <f>SUM(K1337:K1396)</f>
        <v>4702724.5599999996</v>
      </c>
      <c r="L1398" s="918">
        <v>0</v>
      </c>
      <c r="M1398" s="918">
        <v>0</v>
      </c>
      <c r="N1398" s="919"/>
      <c r="O1398" s="918">
        <v>0</v>
      </c>
      <c r="P1398" s="918">
        <f>L1398+H1398</f>
        <v>12289604</v>
      </c>
      <c r="Q1398" s="918">
        <f>M1398+I1398</f>
        <v>7586879.4400000004</v>
      </c>
      <c r="R1398" s="919">
        <f>Q1398/P1398</f>
        <v>0.61734124549497282</v>
      </c>
      <c r="S1398" s="918">
        <f>P1398-Q1398</f>
        <v>4702724.5599999996</v>
      </c>
      <c r="T1398" s="84"/>
      <c r="V1398" s="84"/>
      <c r="W1398" s="84"/>
      <c r="X1398" s="1030"/>
      <c r="Y1398" s="1031"/>
      <c r="Z1398" s="1032"/>
      <c r="AA1398" s="1033"/>
      <c r="AB1398" s="84">
        <f t="shared" si="264"/>
        <v>0</v>
      </c>
    </row>
    <row r="1399" spans="1:28" hidden="1" x14ac:dyDescent="0.25">
      <c r="A1399" s="84"/>
      <c r="B1399" s="84"/>
      <c r="C1399" s="84"/>
      <c r="D1399" s="84"/>
      <c r="F1399" s="792" t="s">
        <v>237</v>
      </c>
      <c r="G1399" s="793" t="s">
        <v>238</v>
      </c>
      <c r="L1399" s="889"/>
      <c r="M1399" s="889"/>
      <c r="N1399" s="890"/>
      <c r="O1399" s="889"/>
      <c r="P1399" s="889"/>
      <c r="Q1399" s="889"/>
      <c r="R1399" s="890"/>
      <c r="S1399" s="918">
        <f t="shared" ref="S1399:S1413" si="267">SUM(H1399:L1399)</f>
        <v>0</v>
      </c>
      <c r="T1399" s="84"/>
      <c r="V1399" s="84"/>
      <c r="W1399" s="84"/>
      <c r="X1399" s="1030"/>
      <c r="Y1399" s="1031"/>
      <c r="Z1399" s="1032"/>
      <c r="AA1399" s="1033"/>
      <c r="AB1399" s="84">
        <f t="shared" si="264"/>
        <v>0</v>
      </c>
    </row>
    <row r="1400" spans="1:28" hidden="1" x14ac:dyDescent="0.25">
      <c r="A1400" s="84"/>
      <c r="B1400" s="84"/>
      <c r="C1400" s="84"/>
      <c r="D1400" s="84"/>
      <c r="F1400" s="792" t="s">
        <v>239</v>
      </c>
      <c r="G1400" s="793" t="s">
        <v>240</v>
      </c>
      <c r="L1400" s="889"/>
      <c r="M1400" s="889"/>
      <c r="N1400" s="890"/>
      <c r="O1400" s="889"/>
      <c r="P1400" s="889"/>
      <c r="Q1400" s="889"/>
      <c r="R1400" s="890"/>
      <c r="S1400" s="918">
        <f t="shared" si="267"/>
        <v>0</v>
      </c>
      <c r="T1400" s="84"/>
      <c r="V1400" s="84"/>
      <c r="W1400" s="84"/>
      <c r="X1400" s="1030"/>
      <c r="Y1400" s="1031"/>
      <c r="Z1400" s="1032"/>
      <c r="AA1400" s="1033"/>
      <c r="AB1400" s="84">
        <f t="shared" si="264"/>
        <v>0</v>
      </c>
    </row>
    <row r="1401" spans="1:28" x14ac:dyDescent="0.25">
      <c r="A1401" s="84"/>
      <c r="B1401" s="84"/>
      <c r="C1401" s="84"/>
      <c r="D1401" s="84"/>
      <c r="F1401" s="792" t="s">
        <v>241</v>
      </c>
      <c r="G1401" s="793" t="s">
        <v>242</v>
      </c>
      <c r="H1401" s="763">
        <v>0</v>
      </c>
      <c r="I1401" s="763">
        <v>0</v>
      </c>
      <c r="K1401" s="763">
        <v>0</v>
      </c>
      <c r="L1401" s="889">
        <v>827000</v>
      </c>
      <c r="M1401" s="889">
        <v>92354.46</v>
      </c>
      <c r="N1401" s="890">
        <f>M1401/L1401</f>
        <v>0.11167407496977026</v>
      </c>
      <c r="O1401" s="889">
        <f>L1401-M1401</f>
        <v>734645.54</v>
      </c>
      <c r="P1401" s="889">
        <f>L1401+H1401</f>
        <v>827000</v>
      </c>
      <c r="Q1401" s="889">
        <f>M1401+I1401</f>
        <v>92354.46</v>
      </c>
      <c r="R1401" s="890">
        <f>Q1401/P1401</f>
        <v>0.11167407496977026</v>
      </c>
      <c r="S1401" s="918">
        <f>P1401-Q1401</f>
        <v>734645.54</v>
      </c>
      <c r="T1401" s="84"/>
      <c r="V1401" s="84"/>
      <c r="W1401" s="84"/>
      <c r="X1401" s="1030"/>
      <c r="Y1401" s="1031"/>
      <c r="Z1401" s="1032"/>
      <c r="AA1401" s="1033"/>
      <c r="AB1401" s="84">
        <f t="shared" si="264"/>
        <v>0</v>
      </c>
    </row>
    <row r="1402" spans="1:28" hidden="1" x14ac:dyDescent="0.25">
      <c r="A1402" s="84"/>
      <c r="B1402" s="84"/>
      <c r="C1402" s="84"/>
      <c r="D1402" s="84"/>
      <c r="F1402" s="792" t="s">
        <v>243</v>
      </c>
      <c r="G1402" s="793" t="s">
        <v>244</v>
      </c>
      <c r="L1402" s="889"/>
      <c r="M1402" s="889"/>
      <c r="N1402" s="890"/>
      <c r="O1402" s="889"/>
      <c r="P1402" s="889"/>
      <c r="Q1402" s="889"/>
      <c r="R1402" s="890"/>
      <c r="S1402" s="918">
        <f t="shared" si="267"/>
        <v>0</v>
      </c>
      <c r="T1402" s="84"/>
      <c r="V1402" s="84"/>
      <c r="W1402" s="84"/>
      <c r="X1402" s="1030"/>
      <c r="Y1402" s="1031"/>
      <c r="Z1402" s="1032"/>
      <c r="AA1402" s="1033"/>
      <c r="AB1402" s="84">
        <f t="shared" si="264"/>
        <v>0</v>
      </c>
    </row>
    <row r="1403" spans="1:28" hidden="1" x14ac:dyDescent="0.25">
      <c r="A1403" s="84"/>
      <c r="B1403" s="84"/>
      <c r="C1403" s="84"/>
      <c r="D1403" s="84"/>
      <c r="F1403" s="792" t="s">
        <v>245</v>
      </c>
      <c r="G1403" s="793" t="s">
        <v>246</v>
      </c>
      <c r="L1403" s="889"/>
      <c r="M1403" s="889"/>
      <c r="N1403" s="890"/>
      <c r="O1403" s="889"/>
      <c r="P1403" s="889"/>
      <c r="Q1403" s="889"/>
      <c r="R1403" s="890"/>
      <c r="S1403" s="918">
        <f t="shared" si="267"/>
        <v>0</v>
      </c>
      <c r="T1403" s="84"/>
      <c r="V1403" s="84"/>
      <c r="W1403" s="84"/>
      <c r="X1403" s="1030"/>
      <c r="Y1403" s="1031"/>
      <c r="Z1403" s="1032"/>
      <c r="AA1403" s="1033"/>
      <c r="AB1403" s="84">
        <f t="shared" ref="AB1403:AB1466" si="268">Z1403-AA1403</f>
        <v>0</v>
      </c>
    </row>
    <row r="1404" spans="1:28" hidden="1" x14ac:dyDescent="0.25">
      <c r="A1404" s="84"/>
      <c r="B1404" s="84"/>
      <c r="C1404" s="84"/>
      <c r="D1404" s="84"/>
      <c r="F1404" s="792" t="s">
        <v>247</v>
      </c>
      <c r="G1404" s="793" t="s">
        <v>4745</v>
      </c>
      <c r="L1404" s="889"/>
      <c r="M1404" s="889"/>
      <c r="N1404" s="890"/>
      <c r="O1404" s="889"/>
      <c r="P1404" s="889"/>
      <c r="Q1404" s="889"/>
      <c r="R1404" s="890"/>
      <c r="S1404" s="918">
        <f t="shared" si="267"/>
        <v>0</v>
      </c>
      <c r="T1404" s="84"/>
      <c r="V1404" s="84"/>
      <c r="W1404" s="84"/>
      <c r="X1404" s="1030"/>
      <c r="Y1404" s="1031"/>
      <c r="Z1404" s="1032"/>
      <c r="AA1404" s="1033"/>
      <c r="AB1404" s="84">
        <f t="shared" si="268"/>
        <v>0</v>
      </c>
    </row>
    <row r="1405" spans="1:28" ht="30" hidden="1" x14ac:dyDescent="0.25">
      <c r="A1405" s="84"/>
      <c r="B1405" s="84"/>
      <c r="C1405" s="84"/>
      <c r="D1405" s="84"/>
      <c r="F1405" s="792" t="s">
        <v>248</v>
      </c>
      <c r="G1405" s="793" t="s">
        <v>4744</v>
      </c>
      <c r="L1405" s="889"/>
      <c r="M1405" s="889"/>
      <c r="N1405" s="890"/>
      <c r="O1405" s="889"/>
      <c r="P1405" s="889"/>
      <c r="Q1405" s="889"/>
      <c r="R1405" s="890"/>
      <c r="S1405" s="918">
        <f t="shared" si="267"/>
        <v>0</v>
      </c>
      <c r="T1405" s="84"/>
      <c r="V1405" s="84"/>
      <c r="W1405" s="84"/>
      <c r="X1405" s="1030"/>
      <c r="Y1405" s="1031"/>
      <c r="Z1405" s="1032"/>
      <c r="AA1405" s="1033"/>
      <c r="AB1405" s="84">
        <f t="shared" si="268"/>
        <v>0</v>
      </c>
    </row>
    <row r="1406" spans="1:28" hidden="1" x14ac:dyDescent="0.25">
      <c r="A1406" s="84"/>
      <c r="B1406" s="84"/>
      <c r="C1406" s="84"/>
      <c r="D1406" s="84"/>
      <c r="F1406" s="792" t="s">
        <v>249</v>
      </c>
      <c r="G1406" s="793" t="s">
        <v>58</v>
      </c>
      <c r="L1406" s="889"/>
      <c r="M1406" s="889"/>
      <c r="N1406" s="890"/>
      <c r="O1406" s="889"/>
      <c r="P1406" s="889"/>
      <c r="Q1406" s="889"/>
      <c r="R1406" s="890"/>
      <c r="S1406" s="918">
        <f t="shared" si="267"/>
        <v>0</v>
      </c>
      <c r="T1406" s="84"/>
      <c r="V1406" s="84"/>
      <c r="W1406" s="84"/>
      <c r="X1406" s="1030"/>
      <c r="Y1406" s="1031"/>
      <c r="Z1406" s="1032"/>
      <c r="AA1406" s="1033"/>
      <c r="AB1406" s="84">
        <f t="shared" si="268"/>
        <v>0</v>
      </c>
    </row>
    <row r="1407" spans="1:28" hidden="1" x14ac:dyDescent="0.25">
      <c r="A1407" s="84"/>
      <c r="B1407" s="84"/>
      <c r="C1407" s="84"/>
      <c r="D1407" s="84"/>
      <c r="F1407" s="792" t="s">
        <v>250</v>
      </c>
      <c r="G1407" s="793" t="s">
        <v>251</v>
      </c>
      <c r="L1407" s="889"/>
      <c r="M1407" s="889"/>
      <c r="N1407" s="890"/>
      <c r="O1407" s="889"/>
      <c r="P1407" s="889"/>
      <c r="Q1407" s="889"/>
      <c r="R1407" s="890"/>
      <c r="S1407" s="918">
        <f t="shared" si="267"/>
        <v>0</v>
      </c>
      <c r="T1407" s="84"/>
      <c r="V1407" s="84"/>
      <c r="W1407" s="84"/>
      <c r="X1407" s="1030"/>
      <c r="Y1407" s="1031"/>
      <c r="Z1407" s="1032"/>
      <c r="AA1407" s="1033"/>
      <c r="AB1407" s="84">
        <f t="shared" si="268"/>
        <v>0</v>
      </c>
    </row>
    <row r="1408" spans="1:28" hidden="1" x14ac:dyDescent="0.25">
      <c r="A1408" s="84"/>
      <c r="B1408" s="84"/>
      <c r="C1408" s="84"/>
      <c r="D1408" s="84"/>
      <c r="F1408" s="792" t="s">
        <v>252</v>
      </c>
      <c r="G1408" s="793" t="s">
        <v>253</v>
      </c>
      <c r="L1408" s="889"/>
      <c r="M1408" s="889"/>
      <c r="N1408" s="890"/>
      <c r="O1408" s="889"/>
      <c r="P1408" s="889"/>
      <c r="Q1408" s="889"/>
      <c r="R1408" s="890"/>
      <c r="S1408" s="918">
        <f t="shared" si="267"/>
        <v>0</v>
      </c>
      <c r="T1408" s="84"/>
      <c r="V1408" s="84"/>
      <c r="W1408" s="84"/>
      <c r="X1408" s="1030"/>
      <c r="Y1408" s="1031"/>
      <c r="Z1408" s="1032"/>
      <c r="AA1408" s="1033"/>
      <c r="AB1408" s="84">
        <f t="shared" si="268"/>
        <v>0</v>
      </c>
    </row>
    <row r="1409" spans="1:28" ht="30" hidden="1" x14ac:dyDescent="0.25">
      <c r="A1409" s="84"/>
      <c r="B1409" s="84"/>
      <c r="C1409" s="84"/>
      <c r="D1409" s="84"/>
      <c r="F1409" s="792" t="s">
        <v>254</v>
      </c>
      <c r="G1409" s="793" t="s">
        <v>255</v>
      </c>
      <c r="L1409" s="889"/>
      <c r="M1409" s="889"/>
      <c r="N1409" s="890"/>
      <c r="O1409" s="889"/>
      <c r="P1409" s="889"/>
      <c r="Q1409" s="889"/>
      <c r="R1409" s="890"/>
      <c r="S1409" s="918">
        <f t="shared" si="267"/>
        <v>0</v>
      </c>
      <c r="T1409" s="84"/>
      <c r="V1409" s="84"/>
      <c r="W1409" s="84"/>
      <c r="X1409" s="1030"/>
      <c r="Y1409" s="1031"/>
      <c r="Z1409" s="1032"/>
      <c r="AA1409" s="1033"/>
      <c r="AB1409" s="84">
        <f t="shared" si="268"/>
        <v>0</v>
      </c>
    </row>
    <row r="1410" spans="1:28" ht="15.75" thickBot="1" x14ac:dyDescent="0.3">
      <c r="A1410" s="84"/>
      <c r="B1410" s="84"/>
      <c r="C1410" s="84"/>
      <c r="D1410" s="84"/>
      <c r="F1410" s="792" t="s">
        <v>256</v>
      </c>
      <c r="G1410" s="793" t="s">
        <v>257</v>
      </c>
      <c r="H1410" s="763">
        <v>0</v>
      </c>
      <c r="I1410" s="763">
        <v>0</v>
      </c>
      <c r="K1410" s="763">
        <v>0</v>
      </c>
      <c r="L1410" s="889">
        <v>299599.40000000002</v>
      </c>
      <c r="M1410" s="889">
        <v>139453.26999999999</v>
      </c>
      <c r="N1410" s="890">
        <f>M1410/L1410</f>
        <v>0.46546578531198651</v>
      </c>
      <c r="O1410" s="889">
        <f>L1410-M1410</f>
        <v>160146.13000000003</v>
      </c>
      <c r="P1410" s="889">
        <f>L1410+H1410</f>
        <v>299599.40000000002</v>
      </c>
      <c r="Q1410" s="889">
        <f>M1410+I1410</f>
        <v>139453.26999999999</v>
      </c>
      <c r="R1410" s="890">
        <f>Q1410/P1410</f>
        <v>0.46546578531198651</v>
      </c>
      <c r="S1410" s="918">
        <f>P1410-Q1410</f>
        <v>160146.13000000003</v>
      </c>
      <c r="T1410" s="84"/>
      <c r="V1410" s="84"/>
      <c r="W1410" s="84"/>
      <c r="X1410" s="1030"/>
      <c r="Y1410" s="1031"/>
      <c r="Z1410" s="1032"/>
      <c r="AA1410" s="1033"/>
      <c r="AB1410" s="84">
        <f t="shared" si="268"/>
        <v>0</v>
      </c>
    </row>
    <row r="1411" spans="1:28" ht="30.75" hidden="1" thickBot="1" x14ac:dyDescent="0.3">
      <c r="A1411" s="84"/>
      <c r="B1411" s="84"/>
      <c r="C1411" s="84"/>
      <c r="D1411" s="84"/>
      <c r="F1411" s="792" t="s">
        <v>258</v>
      </c>
      <c r="G1411" s="793" t="s">
        <v>259</v>
      </c>
      <c r="L1411" s="889"/>
      <c r="M1411" s="889"/>
      <c r="N1411" s="890"/>
      <c r="O1411" s="889"/>
      <c r="P1411" s="889"/>
      <c r="Q1411" s="889"/>
      <c r="R1411" s="890"/>
      <c r="S1411" s="918">
        <f t="shared" si="267"/>
        <v>0</v>
      </c>
      <c r="T1411" s="84"/>
      <c r="V1411" s="84"/>
      <c r="W1411" s="84"/>
      <c r="X1411" s="1030"/>
      <c r="Y1411" s="1031"/>
      <c r="Z1411" s="1032"/>
      <c r="AA1411" s="1033"/>
      <c r="AB1411" s="84">
        <f t="shared" si="268"/>
        <v>0</v>
      </c>
    </row>
    <row r="1412" spans="1:28" ht="30.75" hidden="1" thickBot="1" x14ac:dyDescent="0.3">
      <c r="A1412" s="84"/>
      <c r="B1412" s="84"/>
      <c r="C1412" s="84"/>
      <c r="D1412" s="84"/>
      <c r="F1412" s="792" t="s">
        <v>260</v>
      </c>
      <c r="G1412" s="793" t="s">
        <v>261</v>
      </c>
      <c r="L1412" s="889"/>
      <c r="M1412" s="889"/>
      <c r="N1412" s="890"/>
      <c r="O1412" s="889"/>
      <c r="P1412" s="889"/>
      <c r="Q1412" s="889"/>
      <c r="R1412" s="890"/>
      <c r="S1412" s="918">
        <f t="shared" si="267"/>
        <v>0</v>
      </c>
      <c r="T1412" s="84"/>
      <c r="V1412" s="84"/>
      <c r="W1412" s="84"/>
      <c r="X1412" s="1030"/>
      <c r="Y1412" s="1031"/>
      <c r="Z1412" s="1032"/>
      <c r="AA1412" s="1033"/>
      <c r="AB1412" s="84">
        <f t="shared" si="268"/>
        <v>0</v>
      </c>
    </row>
    <row r="1413" spans="1:28" ht="15.75" hidden="1" thickBot="1" x14ac:dyDescent="0.3">
      <c r="A1413" s="84"/>
      <c r="B1413" s="84"/>
      <c r="C1413" s="84"/>
      <c r="D1413" s="84"/>
      <c r="F1413" s="792" t="s">
        <v>262</v>
      </c>
      <c r="G1413" s="793" t="s">
        <v>263</v>
      </c>
      <c r="H1413" s="794"/>
      <c r="I1413" s="794"/>
      <c r="J1413" s="795"/>
      <c r="K1413" s="794"/>
      <c r="L1413" s="918"/>
      <c r="M1413" s="918"/>
      <c r="N1413" s="919"/>
      <c r="O1413" s="918"/>
      <c r="P1413" s="918"/>
      <c r="Q1413" s="918"/>
      <c r="R1413" s="919"/>
      <c r="S1413" s="918">
        <f t="shared" si="267"/>
        <v>0</v>
      </c>
      <c r="T1413" s="84"/>
      <c r="V1413" s="84"/>
      <c r="W1413" s="84"/>
      <c r="X1413" s="1030"/>
      <c r="Y1413" s="1031"/>
      <c r="Z1413" s="1032"/>
      <c r="AA1413" s="1033"/>
      <c r="AB1413" s="84">
        <f t="shared" si="268"/>
        <v>0</v>
      </c>
    </row>
    <row r="1414" spans="1:28" ht="15.75" thickBot="1" x14ac:dyDescent="0.3">
      <c r="A1414" s="84"/>
      <c r="B1414" s="84"/>
      <c r="C1414" s="84"/>
      <c r="D1414" s="84"/>
      <c r="G1414" s="798" t="s">
        <v>4195</v>
      </c>
      <c r="H1414" s="799">
        <f>SUM(H1398:H1413)</f>
        <v>12289604</v>
      </c>
      <c r="I1414" s="799">
        <f t="shared" ref="I1414:P1414" si="269">SUM(I1398:I1413)</f>
        <v>7586879.4400000004</v>
      </c>
      <c r="J1414" s="800">
        <f>I1414/H1414</f>
        <v>0.61734124549497282</v>
      </c>
      <c r="K1414" s="799">
        <f t="shared" si="269"/>
        <v>4702724.5599999996</v>
      </c>
      <c r="L1414" s="923">
        <f>SUM(L1398:L1413)</f>
        <v>1126599.3999999999</v>
      </c>
      <c r="M1414" s="923">
        <f>SUM(M1398:M1413)</f>
        <v>231807.72999999998</v>
      </c>
      <c r="N1414" s="924">
        <f>M1414/L1414</f>
        <v>0.20575879056921209</v>
      </c>
      <c r="O1414" s="923">
        <f t="shared" si="269"/>
        <v>894791.67</v>
      </c>
      <c r="P1414" s="923">
        <f t="shared" si="269"/>
        <v>13416203.4</v>
      </c>
      <c r="Q1414" s="923">
        <f>SUM(Q1398:Q1413)</f>
        <v>7818687.1699999999</v>
      </c>
      <c r="R1414" s="924">
        <f>Q1414/P1414</f>
        <v>0.5827794150765484</v>
      </c>
      <c r="S1414" s="923">
        <f>SUM(S1398:S1413)</f>
        <v>5597516.2299999995</v>
      </c>
      <c r="T1414" s="84"/>
      <c r="V1414" s="84"/>
      <c r="W1414" s="84"/>
      <c r="X1414" s="1030"/>
      <c r="Y1414" s="1031"/>
      <c r="Z1414" s="1032"/>
      <c r="AA1414" s="1033"/>
      <c r="AB1414" s="84">
        <f t="shared" si="268"/>
        <v>0</v>
      </c>
    </row>
    <row r="1415" spans="1:28" ht="28.5" collapsed="1" x14ac:dyDescent="0.25">
      <c r="A1415" s="84"/>
      <c r="B1415" s="84"/>
      <c r="C1415" s="84"/>
      <c r="D1415" s="84"/>
      <c r="E1415" s="784"/>
      <c r="F1415" s="785"/>
      <c r="G1415" s="803" t="s">
        <v>4196</v>
      </c>
      <c r="H1415" s="804"/>
      <c r="I1415" s="805"/>
      <c r="J1415" s="806"/>
      <c r="K1415" s="805"/>
      <c r="L1415" s="929"/>
      <c r="M1415" s="930"/>
      <c r="N1415" s="931"/>
      <c r="O1415" s="930"/>
      <c r="P1415" s="930"/>
      <c r="Q1415" s="930"/>
      <c r="R1415" s="931"/>
      <c r="S1415" s="932"/>
      <c r="T1415" s="84"/>
      <c r="V1415" s="84"/>
      <c r="W1415" s="84"/>
      <c r="X1415" s="1030"/>
      <c r="Y1415" s="1031"/>
      <c r="Z1415" s="1032"/>
      <c r="AA1415" s="1033"/>
      <c r="AB1415" s="84">
        <f t="shared" si="268"/>
        <v>0</v>
      </c>
    </row>
    <row r="1416" spans="1:28" x14ac:dyDescent="0.25">
      <c r="A1416" s="84"/>
      <c r="B1416" s="84"/>
      <c r="C1416" s="84"/>
      <c r="D1416" s="84"/>
      <c r="E1416" s="791"/>
      <c r="F1416" s="792" t="s">
        <v>235</v>
      </c>
      <c r="G1416" s="793" t="s">
        <v>236</v>
      </c>
      <c r="H1416" s="794">
        <f>SUM(H1337:H1396)</f>
        <v>12289604</v>
      </c>
      <c r="I1416" s="794">
        <f>SUM(I1337:I1396)</f>
        <v>7586879.4400000004</v>
      </c>
      <c r="J1416" s="795">
        <f>I1416/H1416</f>
        <v>0.61734124549497282</v>
      </c>
      <c r="K1416" s="794">
        <f>SUM(K1337:K1396)</f>
        <v>4702724.5599999996</v>
      </c>
      <c r="L1416" s="918">
        <v>0</v>
      </c>
      <c r="M1416" s="918">
        <v>0</v>
      </c>
      <c r="N1416" s="919"/>
      <c r="O1416" s="918">
        <v>0</v>
      </c>
      <c r="P1416" s="918">
        <f>L1416+H1416</f>
        <v>12289604</v>
      </c>
      <c r="Q1416" s="918">
        <f>M1416+I1416</f>
        <v>7586879.4400000004</v>
      </c>
      <c r="R1416" s="919">
        <f>Q1416/P1416</f>
        <v>0.61734124549497282</v>
      </c>
      <c r="S1416" s="918">
        <f>P1416-Q1416</f>
        <v>4702724.5599999996</v>
      </c>
      <c r="T1416" s="84"/>
      <c r="V1416" s="84"/>
      <c r="W1416" s="84"/>
      <c r="X1416" s="1030"/>
      <c r="Y1416" s="1031"/>
      <c r="Z1416" s="1032"/>
      <c r="AA1416" s="1033"/>
      <c r="AB1416" s="84">
        <f t="shared" si="268"/>
        <v>0</v>
      </c>
    </row>
    <row r="1417" spans="1:28" hidden="1" x14ac:dyDescent="0.25">
      <c r="A1417" s="84"/>
      <c r="B1417" s="84"/>
      <c r="C1417" s="84"/>
      <c r="D1417" s="84"/>
      <c r="E1417" s="994"/>
      <c r="F1417" s="792" t="s">
        <v>237</v>
      </c>
      <c r="G1417" s="793" t="s">
        <v>238</v>
      </c>
      <c r="L1417" s="889"/>
      <c r="M1417" s="889"/>
      <c r="N1417" s="890"/>
      <c r="O1417" s="889"/>
      <c r="P1417" s="889"/>
      <c r="Q1417" s="889"/>
      <c r="R1417" s="890"/>
      <c r="S1417" s="918">
        <f t="shared" ref="S1417:S1431" si="270">SUM(H1417:L1417)</f>
        <v>0</v>
      </c>
      <c r="T1417" s="84"/>
      <c r="V1417" s="84"/>
      <c r="W1417" s="84"/>
      <c r="X1417" s="1030"/>
      <c r="Y1417" s="1031"/>
      <c r="Z1417" s="1032"/>
      <c r="AA1417" s="1033"/>
      <c r="AB1417" s="84">
        <f t="shared" si="268"/>
        <v>0</v>
      </c>
    </row>
    <row r="1418" spans="1:28" hidden="1" x14ac:dyDescent="0.25">
      <c r="A1418" s="84"/>
      <c r="B1418" s="84"/>
      <c r="C1418" s="84"/>
      <c r="D1418" s="84"/>
      <c r="E1418" s="994"/>
      <c r="F1418" s="792" t="s">
        <v>239</v>
      </c>
      <c r="G1418" s="793" t="s">
        <v>240</v>
      </c>
      <c r="L1418" s="889"/>
      <c r="M1418" s="889"/>
      <c r="N1418" s="890"/>
      <c r="O1418" s="889"/>
      <c r="P1418" s="889"/>
      <c r="Q1418" s="889"/>
      <c r="R1418" s="890"/>
      <c r="S1418" s="918">
        <f t="shared" si="270"/>
        <v>0</v>
      </c>
      <c r="T1418" s="84"/>
      <c r="V1418" s="84"/>
      <c r="W1418" s="84"/>
      <c r="X1418" s="1030"/>
      <c r="Y1418" s="1031"/>
      <c r="Z1418" s="1032"/>
      <c r="AA1418" s="1033"/>
      <c r="AB1418" s="84">
        <f t="shared" si="268"/>
        <v>0</v>
      </c>
    </row>
    <row r="1419" spans="1:28" x14ac:dyDescent="0.25">
      <c r="A1419" s="84"/>
      <c r="B1419" s="84"/>
      <c r="C1419" s="84"/>
      <c r="D1419" s="84"/>
      <c r="E1419" s="994"/>
      <c r="F1419" s="792" t="s">
        <v>241</v>
      </c>
      <c r="G1419" s="793" t="s">
        <v>242</v>
      </c>
      <c r="H1419" s="763">
        <v>0</v>
      </c>
      <c r="I1419" s="763">
        <v>0</v>
      </c>
      <c r="K1419" s="763">
        <v>0</v>
      </c>
      <c r="L1419" s="889">
        <f>L1401</f>
        <v>827000</v>
      </c>
      <c r="M1419" s="889">
        <f>M1401</f>
        <v>92354.46</v>
      </c>
      <c r="N1419" s="890">
        <f>M1419/L1419</f>
        <v>0.11167407496977026</v>
      </c>
      <c r="O1419" s="889">
        <f>L1419-M1419</f>
        <v>734645.54</v>
      </c>
      <c r="P1419" s="889">
        <f>L1419+H1419</f>
        <v>827000</v>
      </c>
      <c r="Q1419" s="889">
        <f>M1419+I1419</f>
        <v>92354.46</v>
      </c>
      <c r="R1419" s="890">
        <f>Q1419/P1419</f>
        <v>0.11167407496977026</v>
      </c>
      <c r="S1419" s="918">
        <f>P1419-Q1419</f>
        <v>734645.54</v>
      </c>
      <c r="T1419" s="84"/>
      <c r="V1419" s="84"/>
      <c r="W1419" s="84"/>
      <c r="X1419" s="1030"/>
      <c r="Y1419" s="1031"/>
      <c r="Z1419" s="1032"/>
      <c r="AA1419" s="1033"/>
      <c r="AB1419" s="84">
        <f t="shared" si="268"/>
        <v>0</v>
      </c>
    </row>
    <row r="1420" spans="1:28" hidden="1" x14ac:dyDescent="0.25">
      <c r="A1420" s="84"/>
      <c r="B1420" s="84"/>
      <c r="C1420" s="84"/>
      <c r="D1420" s="84"/>
      <c r="E1420" s="994"/>
      <c r="F1420" s="792" t="s">
        <v>243</v>
      </c>
      <c r="G1420" s="793" t="s">
        <v>244</v>
      </c>
      <c r="L1420" s="889"/>
      <c r="M1420" s="889"/>
      <c r="N1420" s="890"/>
      <c r="O1420" s="889"/>
      <c r="P1420" s="889"/>
      <c r="Q1420" s="889"/>
      <c r="R1420" s="890"/>
      <c r="S1420" s="918">
        <f t="shared" si="270"/>
        <v>0</v>
      </c>
      <c r="T1420" s="84"/>
      <c r="V1420" s="84"/>
      <c r="W1420" s="84"/>
      <c r="X1420" s="1030"/>
      <c r="Y1420" s="1031"/>
      <c r="Z1420" s="1032"/>
      <c r="AA1420" s="1033"/>
      <c r="AB1420" s="84">
        <f t="shared" si="268"/>
        <v>0</v>
      </c>
    </row>
    <row r="1421" spans="1:28" hidden="1" x14ac:dyDescent="0.25">
      <c r="A1421" s="84"/>
      <c r="B1421" s="84"/>
      <c r="C1421" s="84"/>
      <c r="D1421" s="84"/>
      <c r="E1421" s="994"/>
      <c r="F1421" s="792" t="s">
        <v>245</v>
      </c>
      <c r="G1421" s="793" t="s">
        <v>246</v>
      </c>
      <c r="L1421" s="889"/>
      <c r="M1421" s="889"/>
      <c r="N1421" s="890"/>
      <c r="O1421" s="889"/>
      <c r="P1421" s="889"/>
      <c r="Q1421" s="889"/>
      <c r="R1421" s="890"/>
      <c r="S1421" s="918">
        <f t="shared" si="270"/>
        <v>0</v>
      </c>
      <c r="T1421" s="84"/>
      <c r="V1421" s="84"/>
      <c r="W1421" s="84"/>
      <c r="X1421" s="1030"/>
      <c r="Y1421" s="1031"/>
      <c r="Z1421" s="1032"/>
      <c r="AA1421" s="1033"/>
      <c r="AB1421" s="84">
        <f t="shared" si="268"/>
        <v>0</v>
      </c>
    </row>
    <row r="1422" spans="1:28" hidden="1" x14ac:dyDescent="0.25">
      <c r="A1422" s="84"/>
      <c r="B1422" s="84"/>
      <c r="C1422" s="84"/>
      <c r="D1422" s="84"/>
      <c r="E1422" s="994"/>
      <c r="F1422" s="792" t="s">
        <v>247</v>
      </c>
      <c r="G1422" s="793" t="s">
        <v>4745</v>
      </c>
      <c r="L1422" s="889"/>
      <c r="M1422" s="889"/>
      <c r="N1422" s="890"/>
      <c r="O1422" s="889"/>
      <c r="P1422" s="889"/>
      <c r="Q1422" s="889"/>
      <c r="R1422" s="890"/>
      <c r="S1422" s="918">
        <f t="shared" si="270"/>
        <v>0</v>
      </c>
      <c r="T1422" s="84"/>
      <c r="V1422" s="84"/>
      <c r="W1422" s="84"/>
      <c r="X1422" s="1030"/>
      <c r="Y1422" s="1031"/>
      <c r="Z1422" s="1032"/>
      <c r="AA1422" s="1033"/>
      <c r="AB1422" s="84">
        <f t="shared" si="268"/>
        <v>0</v>
      </c>
    </row>
    <row r="1423" spans="1:28" ht="30" hidden="1" x14ac:dyDescent="0.25">
      <c r="A1423" s="84"/>
      <c r="B1423" s="84"/>
      <c r="C1423" s="84"/>
      <c r="D1423" s="84"/>
      <c r="E1423" s="994"/>
      <c r="F1423" s="792" t="s">
        <v>248</v>
      </c>
      <c r="G1423" s="793" t="s">
        <v>4744</v>
      </c>
      <c r="L1423" s="889"/>
      <c r="M1423" s="889"/>
      <c r="N1423" s="890"/>
      <c r="O1423" s="889"/>
      <c r="P1423" s="889"/>
      <c r="Q1423" s="889"/>
      <c r="R1423" s="890"/>
      <c r="S1423" s="918">
        <f t="shared" si="270"/>
        <v>0</v>
      </c>
      <c r="T1423" s="84"/>
      <c r="V1423" s="84"/>
      <c r="W1423" s="84"/>
      <c r="X1423" s="1030"/>
      <c r="Y1423" s="1031"/>
      <c r="Z1423" s="1032"/>
      <c r="AA1423" s="1033"/>
      <c r="AB1423" s="84">
        <f t="shared" si="268"/>
        <v>0</v>
      </c>
    </row>
    <row r="1424" spans="1:28" hidden="1" x14ac:dyDescent="0.25">
      <c r="A1424" s="84"/>
      <c r="B1424" s="84"/>
      <c r="C1424" s="84"/>
      <c r="D1424" s="84"/>
      <c r="E1424" s="994"/>
      <c r="F1424" s="792" t="s">
        <v>249</v>
      </c>
      <c r="G1424" s="793" t="s">
        <v>58</v>
      </c>
      <c r="L1424" s="889"/>
      <c r="M1424" s="889"/>
      <c r="N1424" s="890"/>
      <c r="O1424" s="889"/>
      <c r="P1424" s="889"/>
      <c r="Q1424" s="889"/>
      <c r="R1424" s="890"/>
      <c r="S1424" s="918">
        <f t="shared" si="270"/>
        <v>0</v>
      </c>
      <c r="T1424" s="84"/>
      <c r="V1424" s="84"/>
      <c r="W1424" s="84"/>
      <c r="X1424" s="1030"/>
      <c r="Y1424" s="1031"/>
      <c r="Z1424" s="1032"/>
      <c r="AA1424" s="1033"/>
      <c r="AB1424" s="84">
        <f t="shared" si="268"/>
        <v>0</v>
      </c>
    </row>
    <row r="1425" spans="1:28" hidden="1" x14ac:dyDescent="0.25">
      <c r="A1425" s="84"/>
      <c r="B1425" s="84"/>
      <c r="C1425" s="84"/>
      <c r="D1425" s="84"/>
      <c r="E1425" s="994"/>
      <c r="F1425" s="792" t="s">
        <v>250</v>
      </c>
      <c r="G1425" s="793" t="s">
        <v>251</v>
      </c>
      <c r="L1425" s="889"/>
      <c r="M1425" s="889"/>
      <c r="N1425" s="890"/>
      <c r="O1425" s="889"/>
      <c r="P1425" s="889"/>
      <c r="Q1425" s="889"/>
      <c r="R1425" s="890"/>
      <c r="S1425" s="918">
        <f t="shared" si="270"/>
        <v>0</v>
      </c>
      <c r="T1425" s="84"/>
      <c r="V1425" s="84"/>
      <c r="W1425" s="84"/>
      <c r="X1425" s="1030"/>
      <c r="Y1425" s="1031"/>
      <c r="Z1425" s="1032"/>
      <c r="AA1425" s="1033"/>
      <c r="AB1425" s="84">
        <f t="shared" si="268"/>
        <v>0</v>
      </c>
    </row>
    <row r="1426" spans="1:28" hidden="1" x14ac:dyDescent="0.25">
      <c r="A1426" s="84"/>
      <c r="B1426" s="84"/>
      <c r="C1426" s="84"/>
      <c r="D1426" s="84"/>
      <c r="E1426" s="994"/>
      <c r="F1426" s="792" t="s">
        <v>252</v>
      </c>
      <c r="G1426" s="793" t="s">
        <v>253</v>
      </c>
      <c r="L1426" s="889"/>
      <c r="M1426" s="889"/>
      <c r="N1426" s="890"/>
      <c r="O1426" s="889"/>
      <c r="P1426" s="889"/>
      <c r="Q1426" s="889"/>
      <c r="R1426" s="890"/>
      <c r="S1426" s="918">
        <f t="shared" si="270"/>
        <v>0</v>
      </c>
      <c r="T1426" s="84"/>
      <c r="V1426" s="84"/>
      <c r="W1426" s="84"/>
      <c r="X1426" s="1030"/>
      <c r="Y1426" s="1031"/>
      <c r="Z1426" s="1032"/>
      <c r="AA1426" s="1033"/>
      <c r="AB1426" s="84">
        <f t="shared" si="268"/>
        <v>0</v>
      </c>
    </row>
    <row r="1427" spans="1:28" ht="30" hidden="1" x14ac:dyDescent="0.25">
      <c r="A1427" s="84"/>
      <c r="B1427" s="84"/>
      <c r="C1427" s="84"/>
      <c r="D1427" s="84"/>
      <c r="E1427" s="994"/>
      <c r="F1427" s="792" t="s">
        <v>254</v>
      </c>
      <c r="G1427" s="793" t="s">
        <v>255</v>
      </c>
      <c r="L1427" s="889"/>
      <c r="M1427" s="889"/>
      <c r="N1427" s="890"/>
      <c r="O1427" s="889"/>
      <c r="P1427" s="889"/>
      <c r="Q1427" s="889"/>
      <c r="R1427" s="890"/>
      <c r="S1427" s="918">
        <f t="shared" si="270"/>
        <v>0</v>
      </c>
      <c r="T1427" s="84"/>
      <c r="V1427" s="84"/>
      <c r="W1427" s="84"/>
      <c r="X1427" s="1030"/>
      <c r="Y1427" s="1031"/>
      <c r="Z1427" s="1032"/>
      <c r="AA1427" s="1033"/>
      <c r="AB1427" s="84">
        <f t="shared" si="268"/>
        <v>0</v>
      </c>
    </row>
    <row r="1428" spans="1:28" ht="15.75" thickBot="1" x14ac:dyDescent="0.3">
      <c r="A1428" s="84"/>
      <c r="B1428" s="84"/>
      <c r="C1428" s="84"/>
      <c r="D1428" s="84"/>
      <c r="E1428" s="994"/>
      <c r="F1428" s="792" t="s">
        <v>256</v>
      </c>
      <c r="G1428" s="793" t="s">
        <v>257</v>
      </c>
      <c r="H1428" s="763">
        <f>H1410</f>
        <v>0</v>
      </c>
      <c r="I1428" s="763">
        <f t="shared" ref="I1428:S1428" si="271">I1410</f>
        <v>0</v>
      </c>
      <c r="J1428" s="764">
        <f t="shared" si="271"/>
        <v>0</v>
      </c>
      <c r="K1428" s="763">
        <f t="shared" si="271"/>
        <v>0</v>
      </c>
      <c r="L1428" s="889">
        <f>L1410</f>
        <v>299599.40000000002</v>
      </c>
      <c r="M1428" s="889">
        <f t="shared" si="271"/>
        <v>139453.26999999999</v>
      </c>
      <c r="N1428" s="890">
        <f t="shared" si="271"/>
        <v>0.46546578531198651</v>
      </c>
      <c r="O1428" s="889">
        <f t="shared" si="271"/>
        <v>160146.13000000003</v>
      </c>
      <c r="P1428" s="889">
        <f t="shared" si="271"/>
        <v>299599.40000000002</v>
      </c>
      <c r="Q1428" s="889">
        <f t="shared" si="271"/>
        <v>139453.26999999999</v>
      </c>
      <c r="R1428" s="890">
        <f t="shared" si="271"/>
        <v>0.46546578531198651</v>
      </c>
      <c r="S1428" s="918">
        <f t="shared" si="271"/>
        <v>160146.13000000003</v>
      </c>
      <c r="T1428" s="84"/>
      <c r="V1428" s="84"/>
      <c r="W1428" s="84"/>
      <c r="X1428" s="1030"/>
      <c r="Y1428" s="1031"/>
      <c r="Z1428" s="1032"/>
      <c r="AA1428" s="1033"/>
      <c r="AB1428" s="84">
        <f t="shared" si="268"/>
        <v>0</v>
      </c>
    </row>
    <row r="1429" spans="1:28" ht="30.75" hidden="1" thickBot="1" x14ac:dyDescent="0.3">
      <c r="A1429" s="84"/>
      <c r="B1429" s="84"/>
      <c r="C1429" s="84"/>
      <c r="D1429" s="84"/>
      <c r="E1429" s="994"/>
      <c r="F1429" s="792" t="s">
        <v>258</v>
      </c>
      <c r="G1429" s="793" t="s">
        <v>259</v>
      </c>
      <c r="L1429" s="889"/>
      <c r="M1429" s="889"/>
      <c r="N1429" s="890"/>
      <c r="O1429" s="889"/>
      <c r="P1429" s="889"/>
      <c r="Q1429" s="889"/>
      <c r="R1429" s="890"/>
      <c r="S1429" s="918">
        <f t="shared" si="270"/>
        <v>0</v>
      </c>
      <c r="T1429" s="84"/>
      <c r="V1429" s="84"/>
      <c r="W1429" s="84"/>
      <c r="X1429" s="1030"/>
      <c r="Y1429" s="1031"/>
      <c r="Z1429" s="1032"/>
      <c r="AA1429" s="1033"/>
      <c r="AB1429" s="84">
        <f t="shared" si="268"/>
        <v>0</v>
      </c>
    </row>
    <row r="1430" spans="1:28" ht="30.75" hidden="1" thickBot="1" x14ac:dyDescent="0.3">
      <c r="A1430" s="84"/>
      <c r="B1430" s="84"/>
      <c r="C1430" s="84"/>
      <c r="D1430" s="84"/>
      <c r="E1430" s="994"/>
      <c r="F1430" s="792" t="s">
        <v>260</v>
      </c>
      <c r="G1430" s="793" t="s">
        <v>261</v>
      </c>
      <c r="L1430" s="889"/>
      <c r="M1430" s="889"/>
      <c r="N1430" s="890"/>
      <c r="O1430" s="889"/>
      <c r="P1430" s="889"/>
      <c r="Q1430" s="889"/>
      <c r="R1430" s="890"/>
      <c r="S1430" s="918">
        <f t="shared" si="270"/>
        <v>0</v>
      </c>
      <c r="T1430" s="84"/>
      <c r="V1430" s="84"/>
      <c r="W1430" s="84"/>
      <c r="X1430" s="1030"/>
      <c r="Y1430" s="1031"/>
      <c r="Z1430" s="1032"/>
      <c r="AA1430" s="1033"/>
      <c r="AB1430" s="84">
        <f t="shared" si="268"/>
        <v>0</v>
      </c>
    </row>
    <row r="1431" spans="1:28" ht="15.75" hidden="1" thickBot="1" x14ac:dyDescent="0.3">
      <c r="A1431" s="84"/>
      <c r="B1431" s="84"/>
      <c r="C1431" s="84"/>
      <c r="D1431" s="84"/>
      <c r="E1431" s="994"/>
      <c r="F1431" s="792" t="s">
        <v>262</v>
      </c>
      <c r="G1431" s="793" t="s">
        <v>263</v>
      </c>
      <c r="H1431" s="794"/>
      <c r="I1431" s="794"/>
      <c r="J1431" s="795"/>
      <c r="K1431" s="794"/>
      <c r="L1431" s="918"/>
      <c r="M1431" s="918"/>
      <c r="N1431" s="919"/>
      <c r="O1431" s="918"/>
      <c r="P1431" s="918"/>
      <c r="Q1431" s="918"/>
      <c r="R1431" s="919"/>
      <c r="S1431" s="918">
        <f t="shared" si="270"/>
        <v>0</v>
      </c>
      <c r="T1431" s="84"/>
      <c r="V1431" s="84"/>
      <c r="W1431" s="84"/>
      <c r="X1431" s="1030"/>
      <c r="Y1431" s="1031"/>
      <c r="Z1431" s="1032"/>
      <c r="AA1431" s="1033"/>
      <c r="AB1431" s="84">
        <f t="shared" si="268"/>
        <v>0</v>
      </c>
    </row>
    <row r="1432" spans="1:28" ht="15.75" collapsed="1" thickBot="1" x14ac:dyDescent="0.3">
      <c r="A1432" s="84"/>
      <c r="B1432" s="84"/>
      <c r="C1432" s="84"/>
      <c r="D1432" s="84"/>
      <c r="E1432" s="994"/>
      <c r="G1432" s="798" t="s">
        <v>4197</v>
      </c>
      <c r="H1432" s="799">
        <f>SUM(H1416:H1431)</f>
        <v>12289604</v>
      </c>
      <c r="I1432" s="799">
        <f>SUM(I1416:I1431)</f>
        <v>7586879.4400000004</v>
      </c>
      <c r="J1432" s="800">
        <f>I1432/H1432</f>
        <v>0.61734124549497282</v>
      </c>
      <c r="K1432" s="799">
        <f>SUM(K1416:K1431)</f>
        <v>4702724.5599999996</v>
      </c>
      <c r="L1432" s="923">
        <f>SUM(L1416:L1431)</f>
        <v>1126599.3999999999</v>
      </c>
      <c r="M1432" s="923">
        <f>SUM(M1416:M1431)</f>
        <v>231807.72999999998</v>
      </c>
      <c r="N1432" s="924">
        <f>M1432/L1432</f>
        <v>0.20575879056921209</v>
      </c>
      <c r="O1432" s="923">
        <f>SUM(O1416:O1431)</f>
        <v>894791.67</v>
      </c>
      <c r="P1432" s="923">
        <f>SUM(P1416:P1431)</f>
        <v>13416203.4</v>
      </c>
      <c r="Q1432" s="923">
        <f>SUM(Q1416:Q1431)</f>
        <v>7818687.1699999999</v>
      </c>
      <c r="R1432" s="924">
        <f>Q1432/P1432</f>
        <v>0.5827794150765484</v>
      </c>
      <c r="S1432" s="923">
        <f>SUM(S1416:S1431)</f>
        <v>5597516.2299999995</v>
      </c>
      <c r="T1432" s="84"/>
      <c r="V1432" s="84"/>
      <c r="W1432" s="84"/>
      <c r="X1432" s="1030"/>
      <c r="Y1432" s="1031"/>
      <c r="Z1432" s="1032"/>
      <c r="AA1432" s="1033"/>
      <c r="AB1432" s="84">
        <f t="shared" si="268"/>
        <v>0</v>
      </c>
    </row>
    <row r="1433" spans="1:28" x14ac:dyDescent="0.25">
      <c r="A1433" s="84"/>
      <c r="B1433" s="84"/>
      <c r="L1433" s="889"/>
      <c r="M1433" s="889"/>
      <c r="N1433" s="890"/>
      <c r="O1433" s="889"/>
      <c r="P1433" s="889"/>
      <c r="Q1433" s="889"/>
      <c r="R1433" s="890"/>
      <c r="S1433" s="889"/>
      <c r="T1433" s="84"/>
      <c r="V1433" s="84"/>
      <c r="W1433" s="84"/>
      <c r="X1433" s="1030"/>
      <c r="Y1433" s="1031"/>
      <c r="Z1433" s="1032"/>
      <c r="AA1433" s="1033"/>
      <c r="AB1433" s="84">
        <f t="shared" si="268"/>
        <v>0</v>
      </c>
    </row>
    <row r="1434" spans="1:28" x14ac:dyDescent="0.25">
      <c r="A1434" s="84"/>
      <c r="B1434" s="84"/>
      <c r="C1434" s="761" t="s">
        <v>4568</v>
      </c>
      <c r="D1434" s="770"/>
      <c r="G1434" s="938" t="s">
        <v>5437</v>
      </c>
      <c r="L1434" s="889"/>
      <c r="M1434" s="889"/>
      <c r="N1434" s="890"/>
      <c r="O1434" s="889"/>
      <c r="P1434" s="889"/>
      <c r="Q1434" s="889"/>
      <c r="R1434" s="890"/>
      <c r="S1434" s="889"/>
      <c r="T1434" s="84"/>
      <c r="V1434" s="84"/>
      <c r="W1434" s="84"/>
      <c r="X1434" s="1030"/>
      <c r="Y1434" s="1031"/>
      <c r="Z1434" s="1032"/>
      <c r="AA1434" s="1033"/>
      <c r="AB1434" s="84">
        <f t="shared" si="268"/>
        <v>0</v>
      </c>
    </row>
    <row r="1435" spans="1:28" x14ac:dyDescent="0.25">
      <c r="A1435" s="84"/>
      <c r="B1435" s="84"/>
      <c r="C1435" s="761"/>
      <c r="D1435" s="778">
        <v>820</v>
      </c>
      <c r="E1435" s="779"/>
      <c r="F1435" s="778"/>
      <c r="G1435" s="780" t="s">
        <v>208</v>
      </c>
      <c r="L1435" s="889"/>
      <c r="M1435" s="889"/>
      <c r="N1435" s="890"/>
      <c r="O1435" s="889"/>
      <c r="P1435" s="889"/>
      <c r="Q1435" s="889"/>
      <c r="R1435" s="890"/>
      <c r="S1435" s="889"/>
      <c r="T1435" s="84"/>
      <c r="V1435" s="84"/>
      <c r="W1435" s="84"/>
      <c r="X1435" s="1030"/>
      <c r="Y1435" s="1031"/>
      <c r="Z1435" s="1032"/>
      <c r="AA1435" s="1033"/>
      <c r="AB1435" s="84">
        <f t="shared" si="268"/>
        <v>0</v>
      </c>
    </row>
    <row r="1436" spans="1:28" hidden="1" x14ac:dyDescent="0.25">
      <c r="A1436" s="84"/>
      <c r="B1436" s="84"/>
      <c r="F1436" s="782">
        <v>411</v>
      </c>
      <c r="G1436" s="783" t="s">
        <v>4114</v>
      </c>
      <c r="L1436" s="889"/>
      <c r="M1436" s="889"/>
      <c r="N1436" s="890"/>
      <c r="O1436" s="889"/>
      <c r="P1436" s="889"/>
      <c r="Q1436" s="889"/>
      <c r="R1436" s="890"/>
      <c r="S1436" s="889">
        <f>SUM(H1436:L1436)</f>
        <v>0</v>
      </c>
      <c r="T1436" s="84"/>
      <c r="AB1436" s="84">
        <f t="shared" si="268"/>
        <v>0</v>
      </c>
    </row>
    <row r="1437" spans="1:28" hidden="1" x14ac:dyDescent="0.25">
      <c r="A1437" s="84"/>
      <c r="B1437" s="84"/>
      <c r="F1437" s="782">
        <v>412</v>
      </c>
      <c r="G1437" s="783" t="s">
        <v>3768</v>
      </c>
      <c r="L1437" s="889"/>
      <c r="M1437" s="889"/>
      <c r="N1437" s="890"/>
      <c r="O1437" s="889"/>
      <c r="P1437" s="889"/>
      <c r="Q1437" s="889"/>
      <c r="R1437" s="890"/>
      <c r="S1437" s="889">
        <f t="shared" ref="S1437:S1495" si="272">SUM(H1437:L1437)</f>
        <v>0</v>
      </c>
      <c r="T1437" s="84"/>
      <c r="AB1437" s="84">
        <f t="shared" si="268"/>
        <v>0</v>
      </c>
    </row>
    <row r="1438" spans="1:28" hidden="1" x14ac:dyDescent="0.25">
      <c r="A1438" s="84"/>
      <c r="B1438" s="84"/>
      <c r="F1438" s="782">
        <v>413</v>
      </c>
      <c r="G1438" s="783" t="s">
        <v>4115</v>
      </c>
      <c r="L1438" s="889"/>
      <c r="M1438" s="889"/>
      <c r="N1438" s="890"/>
      <c r="O1438" s="889"/>
      <c r="P1438" s="889"/>
      <c r="Q1438" s="889"/>
      <c r="R1438" s="890"/>
      <c r="S1438" s="889">
        <f t="shared" si="272"/>
        <v>0</v>
      </c>
      <c r="T1438" s="84"/>
      <c r="AB1438" s="84">
        <f t="shared" si="268"/>
        <v>0</v>
      </c>
    </row>
    <row r="1439" spans="1:28" hidden="1" x14ac:dyDescent="0.25">
      <c r="A1439" s="84"/>
      <c r="B1439" s="84"/>
      <c r="F1439" s="782">
        <v>414</v>
      </c>
      <c r="G1439" s="783" t="s">
        <v>3771</v>
      </c>
      <c r="L1439" s="889"/>
      <c r="M1439" s="889"/>
      <c r="N1439" s="890"/>
      <c r="O1439" s="889"/>
      <c r="P1439" s="889"/>
      <c r="Q1439" s="889"/>
      <c r="R1439" s="890"/>
      <c r="S1439" s="889">
        <f t="shared" si="272"/>
        <v>0</v>
      </c>
      <c r="T1439" s="84"/>
      <c r="AB1439" s="84">
        <f t="shared" si="268"/>
        <v>0</v>
      </c>
    </row>
    <row r="1440" spans="1:28" hidden="1" x14ac:dyDescent="0.25">
      <c r="A1440" s="84"/>
      <c r="B1440" s="84"/>
      <c r="F1440" s="782">
        <v>415</v>
      </c>
      <c r="G1440" s="783" t="s">
        <v>4124</v>
      </c>
      <c r="L1440" s="889"/>
      <c r="M1440" s="889"/>
      <c r="N1440" s="890"/>
      <c r="O1440" s="889"/>
      <c r="P1440" s="889"/>
      <c r="Q1440" s="889"/>
      <c r="R1440" s="890"/>
      <c r="S1440" s="889">
        <f t="shared" si="272"/>
        <v>0</v>
      </c>
      <c r="T1440" s="84"/>
      <c r="AB1440" s="84">
        <f t="shared" si="268"/>
        <v>0</v>
      </c>
    </row>
    <row r="1441" spans="1:31" hidden="1" x14ac:dyDescent="0.25">
      <c r="A1441" s="84"/>
      <c r="B1441" s="84"/>
      <c r="F1441" s="782">
        <v>416</v>
      </c>
      <c r="G1441" s="783" t="s">
        <v>4125</v>
      </c>
      <c r="L1441" s="889"/>
      <c r="M1441" s="889"/>
      <c r="N1441" s="890"/>
      <c r="O1441" s="889"/>
      <c r="P1441" s="889"/>
      <c r="Q1441" s="889"/>
      <c r="R1441" s="890"/>
      <c r="S1441" s="889">
        <f t="shared" si="272"/>
        <v>0</v>
      </c>
      <c r="T1441" s="84"/>
      <c r="AB1441" s="84">
        <f t="shared" si="268"/>
        <v>0</v>
      </c>
    </row>
    <row r="1442" spans="1:31" hidden="1" x14ac:dyDescent="0.25">
      <c r="A1442" s="84"/>
      <c r="B1442" s="84"/>
      <c r="F1442" s="782">
        <v>417</v>
      </c>
      <c r="G1442" s="783" t="s">
        <v>4126</v>
      </c>
      <c r="L1442" s="889"/>
      <c r="M1442" s="889"/>
      <c r="N1442" s="890"/>
      <c r="O1442" s="889"/>
      <c r="P1442" s="889"/>
      <c r="Q1442" s="889"/>
      <c r="R1442" s="890"/>
      <c r="S1442" s="889">
        <f t="shared" si="272"/>
        <v>0</v>
      </c>
      <c r="T1442" s="84"/>
      <c r="AB1442" s="84">
        <f t="shared" si="268"/>
        <v>0</v>
      </c>
    </row>
    <row r="1443" spans="1:31" hidden="1" x14ac:dyDescent="0.25">
      <c r="A1443" s="84"/>
      <c r="B1443" s="84"/>
      <c r="F1443" s="782">
        <v>418</v>
      </c>
      <c r="G1443" s="783" t="s">
        <v>3777</v>
      </c>
      <c r="L1443" s="889"/>
      <c r="M1443" s="889"/>
      <c r="N1443" s="890"/>
      <c r="O1443" s="889"/>
      <c r="P1443" s="889"/>
      <c r="Q1443" s="889"/>
      <c r="R1443" s="890"/>
      <c r="S1443" s="889">
        <f t="shared" si="272"/>
        <v>0</v>
      </c>
      <c r="T1443" s="84"/>
      <c r="AB1443" s="84">
        <f t="shared" si="268"/>
        <v>0</v>
      </c>
    </row>
    <row r="1444" spans="1:31" hidden="1" x14ac:dyDescent="0.25">
      <c r="A1444" s="84"/>
      <c r="B1444" s="84"/>
      <c r="F1444" s="782">
        <v>421</v>
      </c>
      <c r="G1444" s="783" t="s">
        <v>3781</v>
      </c>
      <c r="L1444" s="889"/>
      <c r="M1444" s="889"/>
      <c r="N1444" s="890"/>
      <c r="O1444" s="889"/>
      <c r="P1444" s="889"/>
      <c r="Q1444" s="889"/>
      <c r="R1444" s="890"/>
      <c r="S1444" s="889">
        <f t="shared" si="272"/>
        <v>0</v>
      </c>
      <c r="T1444" s="84"/>
      <c r="AB1444" s="84">
        <f t="shared" si="268"/>
        <v>0</v>
      </c>
    </row>
    <row r="1445" spans="1:31" x14ac:dyDescent="0.25">
      <c r="A1445" s="84"/>
      <c r="B1445" s="84"/>
      <c r="E1445" s="760" t="s">
        <v>3884</v>
      </c>
      <c r="F1445" s="782">
        <v>422</v>
      </c>
      <c r="G1445" s="783" t="s">
        <v>3782</v>
      </c>
      <c r="H1445" s="763">
        <v>0</v>
      </c>
      <c r="I1445" s="763">
        <v>0</v>
      </c>
      <c r="K1445" s="763">
        <f>H1445-I1445</f>
        <v>0</v>
      </c>
      <c r="L1445" s="889">
        <v>100000</v>
      </c>
      <c r="M1445" s="889">
        <v>88164</v>
      </c>
      <c r="N1445" s="890">
        <f>M1445/L1445</f>
        <v>0.88163999999999998</v>
      </c>
      <c r="O1445" s="889">
        <f>L1445-M1445</f>
        <v>11836</v>
      </c>
      <c r="P1445" s="889">
        <f t="shared" ref="P1445:Q1449" si="273">L1445+H1445</f>
        <v>100000</v>
      </c>
      <c r="Q1445" s="889">
        <f t="shared" si="273"/>
        <v>88164</v>
      </c>
      <c r="R1445" s="890">
        <f>Q1445/P1445</f>
        <v>0.88163999999999998</v>
      </c>
      <c r="S1445" s="889">
        <f>P1445-Q1445</f>
        <v>11836</v>
      </c>
      <c r="T1445" s="84"/>
      <c r="Z1445" s="830">
        <f t="shared" ref="Z1445:Z1482" si="274">H1445-X1445+Y1445</f>
        <v>0</v>
      </c>
      <c r="AA1445" s="831">
        <v>0</v>
      </c>
      <c r="AB1445" s="84">
        <f t="shared" si="268"/>
        <v>0</v>
      </c>
      <c r="AE1445" s="84">
        <f t="shared" ref="AE1445:AE1482" si="275">H1445-AA1445</f>
        <v>0</v>
      </c>
    </row>
    <row r="1446" spans="1:31" x14ac:dyDescent="0.25">
      <c r="A1446" s="84"/>
      <c r="B1446" s="84"/>
      <c r="E1446" s="760" t="s">
        <v>3885</v>
      </c>
      <c r="F1446" s="782">
        <v>423</v>
      </c>
      <c r="G1446" s="783" t="s">
        <v>3783</v>
      </c>
      <c r="H1446" s="763">
        <v>50000</v>
      </c>
      <c r="I1446" s="763">
        <v>0</v>
      </c>
      <c r="J1446" s="764">
        <f>I1446/H1446</f>
        <v>0</v>
      </c>
      <c r="K1446" s="763">
        <f>H1446-I1446</f>
        <v>50000</v>
      </c>
      <c r="L1446" s="889">
        <v>220000</v>
      </c>
      <c r="M1446" s="889">
        <v>94936.71</v>
      </c>
      <c r="N1446" s="890">
        <f>M1446/L1446</f>
        <v>0.43153050000000004</v>
      </c>
      <c r="O1446" s="889">
        <f>L1446-M1446</f>
        <v>125063.29</v>
      </c>
      <c r="P1446" s="889">
        <f t="shared" si="273"/>
        <v>270000</v>
      </c>
      <c r="Q1446" s="889">
        <f t="shared" si="273"/>
        <v>94936.71</v>
      </c>
      <c r="R1446" s="890">
        <f>Q1446/P1446</f>
        <v>0.35161744444444448</v>
      </c>
      <c r="S1446" s="889">
        <f>P1446-Q1446</f>
        <v>175063.28999999998</v>
      </c>
      <c r="T1446" s="84"/>
      <c r="Z1446" s="830">
        <f t="shared" si="274"/>
        <v>50000</v>
      </c>
      <c r="AA1446" s="831">
        <v>50000</v>
      </c>
      <c r="AB1446" s="84">
        <f t="shared" si="268"/>
        <v>0</v>
      </c>
      <c r="AE1446" s="84">
        <f t="shared" si="275"/>
        <v>0</v>
      </c>
    </row>
    <row r="1447" spans="1:31" x14ac:dyDescent="0.25">
      <c r="A1447" s="84"/>
      <c r="B1447" s="84"/>
      <c r="E1447" s="760" t="s">
        <v>3886</v>
      </c>
      <c r="F1447" s="782">
        <v>424</v>
      </c>
      <c r="G1447" s="783" t="s">
        <v>3785</v>
      </c>
      <c r="H1447" s="763">
        <v>50000</v>
      </c>
      <c r="I1447" s="763">
        <f>12000+12000</f>
        <v>24000</v>
      </c>
      <c r="J1447" s="764">
        <f>I1447/H1447</f>
        <v>0.48</v>
      </c>
      <c r="K1447" s="763">
        <f>H1447-I1447</f>
        <v>26000</v>
      </c>
      <c r="L1447" s="889">
        <v>0</v>
      </c>
      <c r="M1447" s="889">
        <v>0</v>
      </c>
      <c r="N1447" s="890"/>
      <c r="O1447" s="889">
        <f>L1447-M1447</f>
        <v>0</v>
      </c>
      <c r="P1447" s="889">
        <f t="shared" si="273"/>
        <v>50000</v>
      </c>
      <c r="Q1447" s="889">
        <f t="shared" si="273"/>
        <v>24000</v>
      </c>
      <c r="R1447" s="890">
        <f>Q1447/P1447</f>
        <v>0.48</v>
      </c>
      <c r="S1447" s="889">
        <f>P1447-Q1447</f>
        <v>26000</v>
      </c>
      <c r="T1447" s="84"/>
      <c r="Z1447" s="830">
        <f t="shared" si="274"/>
        <v>50000</v>
      </c>
      <c r="AA1447" s="831">
        <v>50000</v>
      </c>
      <c r="AB1447" s="84">
        <f t="shared" si="268"/>
        <v>0</v>
      </c>
      <c r="AE1447" s="84">
        <f t="shared" si="275"/>
        <v>0</v>
      </c>
    </row>
    <row r="1448" spans="1:31" x14ac:dyDescent="0.25">
      <c r="A1448" s="84"/>
      <c r="B1448" s="84"/>
      <c r="E1448" s="760" t="s">
        <v>5268</v>
      </c>
      <c r="F1448" s="782">
        <v>425</v>
      </c>
      <c r="G1448" s="783" t="s">
        <v>4127</v>
      </c>
      <c r="H1448" s="763">
        <v>40000</v>
      </c>
      <c r="I1448" s="763">
        <v>0</v>
      </c>
      <c r="J1448" s="764">
        <f>I1448/H1448</f>
        <v>0</v>
      </c>
      <c r="K1448" s="763">
        <f>H1448-I1448</f>
        <v>40000</v>
      </c>
      <c r="L1448" s="889">
        <v>0</v>
      </c>
      <c r="M1448" s="889"/>
      <c r="N1448" s="890"/>
      <c r="O1448" s="889">
        <f>L1448-M1448</f>
        <v>0</v>
      </c>
      <c r="P1448" s="889">
        <f t="shared" si="273"/>
        <v>40000</v>
      </c>
      <c r="Q1448" s="889">
        <f t="shared" si="273"/>
        <v>0</v>
      </c>
      <c r="R1448" s="890">
        <f>Q1448/P1448</f>
        <v>0</v>
      </c>
      <c r="S1448" s="889">
        <f>P1448-Q1448</f>
        <v>40000</v>
      </c>
      <c r="T1448" s="84"/>
      <c r="Z1448" s="830">
        <f t="shared" si="274"/>
        <v>40000</v>
      </c>
      <c r="AA1448" s="831">
        <v>40000</v>
      </c>
      <c r="AB1448" s="84">
        <f t="shared" si="268"/>
        <v>0</v>
      </c>
      <c r="AE1448" s="84">
        <f t="shared" si="275"/>
        <v>0</v>
      </c>
    </row>
    <row r="1449" spans="1:31" ht="15.75" thickBot="1" x14ac:dyDescent="0.3">
      <c r="A1449" s="84"/>
      <c r="B1449" s="84"/>
      <c r="C1449" s="84"/>
      <c r="D1449" s="84"/>
      <c r="E1449" s="760" t="s">
        <v>5269</v>
      </c>
      <c r="F1449" s="782">
        <v>426</v>
      </c>
      <c r="G1449" s="783" t="s">
        <v>3789</v>
      </c>
      <c r="H1449" s="763">
        <v>160000</v>
      </c>
      <c r="I1449" s="763">
        <f>35000+33362.7</f>
        <v>68362.7</v>
      </c>
      <c r="J1449" s="764">
        <f>I1449/H1449</f>
        <v>0.42726687499999999</v>
      </c>
      <c r="K1449" s="763">
        <f>H1449-I1449</f>
        <v>91637.3</v>
      </c>
      <c r="L1449" s="889">
        <v>150000</v>
      </c>
      <c r="M1449" s="889">
        <v>95002.31</v>
      </c>
      <c r="N1449" s="890">
        <f>M1449/L1449</f>
        <v>0.6333487333333333</v>
      </c>
      <c r="O1449" s="889">
        <f>L1449-M1449</f>
        <v>54997.69</v>
      </c>
      <c r="P1449" s="889">
        <f t="shared" si="273"/>
        <v>310000</v>
      </c>
      <c r="Q1449" s="889">
        <f t="shared" si="273"/>
        <v>163365.01</v>
      </c>
      <c r="R1449" s="890">
        <f>Q1449/P1449</f>
        <v>0.52698390322580646</v>
      </c>
      <c r="S1449" s="889">
        <f>P1449-Q1449</f>
        <v>146634.99</v>
      </c>
      <c r="T1449" s="84"/>
      <c r="Z1449" s="830">
        <f t="shared" si="274"/>
        <v>160000</v>
      </c>
      <c r="AA1449" s="831">
        <v>160000</v>
      </c>
      <c r="AB1449" s="84">
        <f t="shared" si="268"/>
        <v>0</v>
      </c>
      <c r="AE1449" s="84">
        <f t="shared" si="275"/>
        <v>0</v>
      </c>
    </row>
    <row r="1450" spans="1:31" hidden="1" x14ac:dyDescent="0.25">
      <c r="A1450" s="84"/>
      <c r="B1450" s="84"/>
      <c r="C1450" s="84"/>
      <c r="D1450" s="84"/>
      <c r="F1450" s="782">
        <v>431</v>
      </c>
      <c r="G1450" s="783" t="s">
        <v>4128</v>
      </c>
      <c r="H1450" s="763">
        <v>0</v>
      </c>
      <c r="L1450" s="889"/>
      <c r="M1450" s="889"/>
      <c r="N1450" s="890"/>
      <c r="O1450" s="889"/>
      <c r="P1450" s="889"/>
      <c r="Q1450" s="889"/>
      <c r="R1450" s="890"/>
      <c r="S1450" s="889">
        <f t="shared" si="272"/>
        <v>0</v>
      </c>
      <c r="T1450" s="84"/>
      <c r="Z1450" s="830">
        <f t="shared" si="274"/>
        <v>0</v>
      </c>
      <c r="AB1450" s="84">
        <f t="shared" si="268"/>
        <v>0</v>
      </c>
      <c r="AE1450" s="84">
        <f t="shared" si="275"/>
        <v>0</v>
      </c>
    </row>
    <row r="1451" spans="1:31" hidden="1" x14ac:dyDescent="0.25">
      <c r="A1451" s="84"/>
      <c r="B1451" s="84"/>
      <c r="C1451" s="84"/>
      <c r="D1451" s="84"/>
      <c r="F1451" s="782">
        <v>432</v>
      </c>
      <c r="G1451" s="783" t="s">
        <v>4129</v>
      </c>
      <c r="H1451" s="763">
        <v>0</v>
      </c>
      <c r="L1451" s="889"/>
      <c r="M1451" s="889"/>
      <c r="N1451" s="890"/>
      <c r="O1451" s="889"/>
      <c r="P1451" s="889"/>
      <c r="Q1451" s="889"/>
      <c r="R1451" s="890"/>
      <c r="S1451" s="889">
        <f t="shared" si="272"/>
        <v>0</v>
      </c>
      <c r="T1451" s="84"/>
      <c r="Z1451" s="830">
        <f t="shared" si="274"/>
        <v>0</v>
      </c>
      <c r="AB1451" s="84">
        <f t="shared" si="268"/>
        <v>0</v>
      </c>
      <c r="AE1451" s="84">
        <f t="shared" si="275"/>
        <v>0</v>
      </c>
    </row>
    <row r="1452" spans="1:31" hidden="1" x14ac:dyDescent="0.25">
      <c r="A1452" s="84"/>
      <c r="B1452" s="84"/>
      <c r="C1452" s="84"/>
      <c r="D1452" s="84"/>
      <c r="F1452" s="782">
        <v>433</v>
      </c>
      <c r="G1452" s="783" t="s">
        <v>4130</v>
      </c>
      <c r="H1452" s="763">
        <v>0</v>
      </c>
      <c r="L1452" s="889"/>
      <c r="M1452" s="889"/>
      <c r="N1452" s="890"/>
      <c r="O1452" s="889"/>
      <c r="P1452" s="889"/>
      <c r="Q1452" s="889"/>
      <c r="R1452" s="890"/>
      <c r="S1452" s="889">
        <f t="shared" si="272"/>
        <v>0</v>
      </c>
      <c r="T1452" s="84"/>
      <c r="V1452" s="84"/>
      <c r="W1452" s="84"/>
      <c r="X1452" s="1030"/>
      <c r="Y1452" s="1031"/>
      <c r="Z1452" s="1032">
        <f t="shared" si="274"/>
        <v>0</v>
      </c>
      <c r="AA1452" s="1033"/>
      <c r="AB1452" s="84">
        <f t="shared" si="268"/>
        <v>0</v>
      </c>
      <c r="AE1452" s="84">
        <f t="shared" si="275"/>
        <v>0</v>
      </c>
    </row>
    <row r="1453" spans="1:31" hidden="1" x14ac:dyDescent="0.25">
      <c r="A1453" s="84"/>
      <c r="B1453" s="84"/>
      <c r="C1453" s="84"/>
      <c r="D1453" s="84"/>
      <c r="F1453" s="782">
        <v>434</v>
      </c>
      <c r="G1453" s="783" t="s">
        <v>4131</v>
      </c>
      <c r="H1453" s="763">
        <v>0</v>
      </c>
      <c r="L1453" s="889"/>
      <c r="M1453" s="889"/>
      <c r="N1453" s="890"/>
      <c r="O1453" s="889"/>
      <c r="P1453" s="889"/>
      <c r="Q1453" s="889"/>
      <c r="R1453" s="890"/>
      <c r="S1453" s="889">
        <f t="shared" si="272"/>
        <v>0</v>
      </c>
      <c r="T1453" s="84"/>
      <c r="V1453" s="84"/>
      <c r="W1453" s="84"/>
      <c r="X1453" s="1030"/>
      <c r="Y1453" s="1031"/>
      <c r="Z1453" s="1032">
        <f t="shared" si="274"/>
        <v>0</v>
      </c>
      <c r="AA1453" s="1033"/>
      <c r="AB1453" s="84">
        <f t="shared" si="268"/>
        <v>0</v>
      </c>
      <c r="AE1453" s="84">
        <f t="shared" si="275"/>
        <v>0</v>
      </c>
    </row>
    <row r="1454" spans="1:31" hidden="1" x14ac:dyDescent="0.25">
      <c r="A1454" s="84"/>
      <c r="B1454" s="84"/>
      <c r="C1454" s="84"/>
      <c r="D1454" s="84"/>
      <c r="F1454" s="782">
        <v>435</v>
      </c>
      <c r="G1454" s="783" t="s">
        <v>3796</v>
      </c>
      <c r="H1454" s="763">
        <v>0</v>
      </c>
      <c r="L1454" s="889"/>
      <c r="M1454" s="889"/>
      <c r="N1454" s="890"/>
      <c r="O1454" s="889"/>
      <c r="P1454" s="889"/>
      <c r="Q1454" s="889"/>
      <c r="R1454" s="890"/>
      <c r="S1454" s="889">
        <f t="shared" si="272"/>
        <v>0</v>
      </c>
      <c r="T1454" s="84"/>
      <c r="V1454" s="84"/>
      <c r="W1454" s="84"/>
      <c r="X1454" s="1030"/>
      <c r="Y1454" s="1031"/>
      <c r="Z1454" s="1032">
        <f t="shared" si="274"/>
        <v>0</v>
      </c>
      <c r="AA1454" s="1033"/>
      <c r="AB1454" s="84">
        <f t="shared" si="268"/>
        <v>0</v>
      </c>
      <c r="AE1454" s="84">
        <f t="shared" si="275"/>
        <v>0</v>
      </c>
    </row>
    <row r="1455" spans="1:31" hidden="1" x14ac:dyDescent="0.25">
      <c r="A1455" s="84"/>
      <c r="B1455" s="84"/>
      <c r="C1455" s="84"/>
      <c r="D1455" s="84"/>
      <c r="F1455" s="782">
        <v>441</v>
      </c>
      <c r="G1455" s="783" t="s">
        <v>4132</v>
      </c>
      <c r="H1455" s="763">
        <v>0</v>
      </c>
      <c r="L1455" s="889"/>
      <c r="M1455" s="889"/>
      <c r="N1455" s="890"/>
      <c r="O1455" s="889"/>
      <c r="P1455" s="889"/>
      <c r="Q1455" s="889"/>
      <c r="R1455" s="890"/>
      <c r="S1455" s="889">
        <f t="shared" si="272"/>
        <v>0</v>
      </c>
      <c r="T1455" s="84"/>
      <c r="V1455" s="84"/>
      <c r="W1455" s="84"/>
      <c r="X1455" s="1030"/>
      <c r="Y1455" s="1031"/>
      <c r="Z1455" s="1032">
        <f t="shared" si="274"/>
        <v>0</v>
      </c>
      <c r="AA1455" s="1033"/>
      <c r="AB1455" s="84">
        <f t="shared" si="268"/>
        <v>0</v>
      </c>
      <c r="AE1455" s="84">
        <f t="shared" si="275"/>
        <v>0</v>
      </c>
    </row>
    <row r="1456" spans="1:31" hidden="1" x14ac:dyDescent="0.25">
      <c r="A1456" s="84"/>
      <c r="B1456" s="84"/>
      <c r="C1456" s="84"/>
      <c r="D1456" s="84"/>
      <c r="F1456" s="782">
        <v>442</v>
      </c>
      <c r="G1456" s="783" t="s">
        <v>4133</v>
      </c>
      <c r="H1456" s="763">
        <v>0</v>
      </c>
      <c r="L1456" s="889"/>
      <c r="M1456" s="889"/>
      <c r="N1456" s="890"/>
      <c r="O1456" s="889"/>
      <c r="P1456" s="889"/>
      <c r="Q1456" s="889"/>
      <c r="R1456" s="890"/>
      <c r="S1456" s="889">
        <f t="shared" si="272"/>
        <v>0</v>
      </c>
      <c r="T1456" s="84"/>
      <c r="V1456" s="84"/>
      <c r="W1456" s="84"/>
      <c r="X1456" s="1030"/>
      <c r="Y1456" s="1031"/>
      <c r="Z1456" s="1032">
        <f t="shared" si="274"/>
        <v>0</v>
      </c>
      <c r="AA1456" s="1033"/>
      <c r="AB1456" s="84">
        <f t="shared" si="268"/>
        <v>0</v>
      </c>
      <c r="AE1456" s="84">
        <f t="shared" si="275"/>
        <v>0</v>
      </c>
    </row>
    <row r="1457" spans="1:31" hidden="1" x14ac:dyDescent="0.25">
      <c r="A1457" s="84"/>
      <c r="B1457" s="84"/>
      <c r="C1457" s="84"/>
      <c r="D1457" s="84"/>
      <c r="F1457" s="782">
        <v>443</v>
      </c>
      <c r="G1457" s="783" t="s">
        <v>3801</v>
      </c>
      <c r="H1457" s="763">
        <v>0</v>
      </c>
      <c r="L1457" s="889"/>
      <c r="M1457" s="889"/>
      <c r="N1457" s="890"/>
      <c r="O1457" s="889"/>
      <c r="P1457" s="889"/>
      <c r="Q1457" s="889"/>
      <c r="R1457" s="890"/>
      <c r="S1457" s="889">
        <f t="shared" si="272"/>
        <v>0</v>
      </c>
      <c r="T1457" s="84"/>
      <c r="V1457" s="84"/>
      <c r="W1457" s="84"/>
      <c r="X1457" s="1030"/>
      <c r="Y1457" s="1031"/>
      <c r="Z1457" s="1032">
        <f t="shared" si="274"/>
        <v>0</v>
      </c>
      <c r="AA1457" s="1033"/>
      <c r="AB1457" s="84">
        <f t="shared" si="268"/>
        <v>0</v>
      </c>
      <c r="AE1457" s="84">
        <f t="shared" si="275"/>
        <v>0</v>
      </c>
    </row>
    <row r="1458" spans="1:31" hidden="1" x14ac:dyDescent="0.25">
      <c r="A1458" s="84"/>
      <c r="B1458" s="84"/>
      <c r="C1458" s="84"/>
      <c r="D1458" s="84"/>
      <c r="F1458" s="782">
        <v>444</v>
      </c>
      <c r="G1458" s="783" t="s">
        <v>3802</v>
      </c>
      <c r="H1458" s="763">
        <v>0</v>
      </c>
      <c r="L1458" s="889"/>
      <c r="M1458" s="889"/>
      <c r="N1458" s="890"/>
      <c r="O1458" s="889"/>
      <c r="P1458" s="889"/>
      <c r="Q1458" s="889"/>
      <c r="R1458" s="890"/>
      <c r="S1458" s="889">
        <f t="shared" si="272"/>
        <v>0</v>
      </c>
      <c r="T1458" s="84"/>
      <c r="V1458" s="84"/>
      <c r="W1458" s="84"/>
      <c r="X1458" s="1030"/>
      <c r="Y1458" s="1031"/>
      <c r="Z1458" s="1032">
        <f t="shared" si="274"/>
        <v>0</v>
      </c>
      <c r="AA1458" s="1033"/>
      <c r="AB1458" s="84">
        <f t="shared" si="268"/>
        <v>0</v>
      </c>
      <c r="AE1458" s="84">
        <f t="shared" si="275"/>
        <v>0</v>
      </c>
    </row>
    <row r="1459" spans="1:31" ht="30" hidden="1" x14ac:dyDescent="0.25">
      <c r="A1459" s="84"/>
      <c r="B1459" s="84"/>
      <c r="C1459" s="84"/>
      <c r="D1459" s="84"/>
      <c r="F1459" s="782">
        <v>4511</v>
      </c>
      <c r="G1459" s="874" t="s">
        <v>1691</v>
      </c>
      <c r="H1459" s="763">
        <v>0</v>
      </c>
      <c r="L1459" s="889"/>
      <c r="M1459" s="889"/>
      <c r="N1459" s="890"/>
      <c r="O1459" s="889"/>
      <c r="P1459" s="889"/>
      <c r="Q1459" s="889"/>
      <c r="R1459" s="890"/>
      <c r="S1459" s="889">
        <f t="shared" si="272"/>
        <v>0</v>
      </c>
      <c r="T1459" s="84"/>
      <c r="V1459" s="84"/>
      <c r="W1459" s="84"/>
      <c r="X1459" s="1030"/>
      <c r="Y1459" s="1031"/>
      <c r="Z1459" s="1032">
        <f t="shared" si="274"/>
        <v>0</v>
      </c>
      <c r="AA1459" s="1033"/>
      <c r="AB1459" s="84">
        <f t="shared" si="268"/>
        <v>0</v>
      </c>
      <c r="AE1459" s="84">
        <f t="shared" si="275"/>
        <v>0</v>
      </c>
    </row>
    <row r="1460" spans="1:31" ht="30" hidden="1" x14ac:dyDescent="0.25">
      <c r="A1460" s="84"/>
      <c r="B1460" s="84"/>
      <c r="C1460" s="84"/>
      <c r="D1460" s="84"/>
      <c r="F1460" s="782">
        <v>4512</v>
      </c>
      <c r="G1460" s="874" t="s">
        <v>1700</v>
      </c>
      <c r="H1460" s="763">
        <v>0</v>
      </c>
      <c r="L1460" s="889"/>
      <c r="M1460" s="889"/>
      <c r="N1460" s="890"/>
      <c r="O1460" s="889"/>
      <c r="P1460" s="889"/>
      <c r="Q1460" s="889"/>
      <c r="R1460" s="890"/>
      <c r="S1460" s="889">
        <f t="shared" si="272"/>
        <v>0</v>
      </c>
      <c r="T1460" s="84"/>
      <c r="V1460" s="84"/>
      <c r="W1460" s="84"/>
      <c r="X1460" s="1030"/>
      <c r="Y1460" s="1031"/>
      <c r="Z1460" s="1032">
        <f t="shared" si="274"/>
        <v>0</v>
      </c>
      <c r="AA1460" s="1033"/>
      <c r="AB1460" s="84">
        <f t="shared" si="268"/>
        <v>0</v>
      </c>
      <c r="AE1460" s="84">
        <f t="shared" si="275"/>
        <v>0</v>
      </c>
    </row>
    <row r="1461" spans="1:31" ht="30" hidden="1" x14ac:dyDescent="0.25">
      <c r="A1461" s="84"/>
      <c r="B1461" s="84"/>
      <c r="C1461" s="84"/>
      <c r="D1461" s="84"/>
      <c r="F1461" s="782">
        <v>452</v>
      </c>
      <c r="G1461" s="783" t="s">
        <v>4134</v>
      </c>
      <c r="H1461" s="763">
        <v>0</v>
      </c>
      <c r="L1461" s="889"/>
      <c r="M1461" s="889"/>
      <c r="N1461" s="890"/>
      <c r="O1461" s="889"/>
      <c r="P1461" s="889"/>
      <c r="Q1461" s="889"/>
      <c r="R1461" s="890"/>
      <c r="S1461" s="889">
        <f t="shared" si="272"/>
        <v>0</v>
      </c>
      <c r="T1461" s="84"/>
      <c r="V1461" s="84"/>
      <c r="W1461" s="84"/>
      <c r="X1461" s="1030"/>
      <c r="Y1461" s="1031"/>
      <c r="Z1461" s="1032">
        <f t="shared" si="274"/>
        <v>0</v>
      </c>
      <c r="AA1461" s="1033"/>
      <c r="AB1461" s="84">
        <f t="shared" si="268"/>
        <v>0</v>
      </c>
      <c r="AE1461" s="84">
        <f t="shared" si="275"/>
        <v>0</v>
      </c>
    </row>
    <row r="1462" spans="1:31" hidden="1" x14ac:dyDescent="0.25">
      <c r="A1462" s="84"/>
      <c r="B1462" s="84"/>
      <c r="C1462" s="84"/>
      <c r="D1462" s="84"/>
      <c r="F1462" s="782">
        <v>453</v>
      </c>
      <c r="G1462" s="783" t="s">
        <v>4135</v>
      </c>
      <c r="H1462" s="763">
        <v>0</v>
      </c>
      <c r="L1462" s="889"/>
      <c r="M1462" s="889"/>
      <c r="N1462" s="890"/>
      <c r="O1462" s="889"/>
      <c r="P1462" s="889"/>
      <c r="Q1462" s="889"/>
      <c r="R1462" s="890"/>
      <c r="S1462" s="889">
        <f t="shared" si="272"/>
        <v>0</v>
      </c>
      <c r="T1462" s="84"/>
      <c r="V1462" s="84"/>
      <c r="W1462" s="84"/>
      <c r="X1462" s="1030"/>
      <c r="Y1462" s="1031"/>
      <c r="Z1462" s="1032">
        <f t="shared" si="274"/>
        <v>0</v>
      </c>
      <c r="AA1462" s="1033"/>
      <c r="AB1462" s="84">
        <f t="shared" si="268"/>
        <v>0</v>
      </c>
      <c r="AE1462" s="84">
        <f t="shared" si="275"/>
        <v>0</v>
      </c>
    </row>
    <row r="1463" spans="1:31" hidden="1" x14ac:dyDescent="0.25">
      <c r="A1463" s="84"/>
      <c r="B1463" s="84"/>
      <c r="C1463" s="84"/>
      <c r="D1463" s="84"/>
      <c r="F1463" s="782">
        <v>454</v>
      </c>
      <c r="G1463" s="783" t="s">
        <v>3807</v>
      </c>
      <c r="H1463" s="763">
        <v>0</v>
      </c>
      <c r="L1463" s="889"/>
      <c r="M1463" s="889"/>
      <c r="N1463" s="890"/>
      <c r="O1463" s="889"/>
      <c r="P1463" s="889"/>
      <c r="Q1463" s="889"/>
      <c r="R1463" s="890"/>
      <c r="S1463" s="889">
        <f t="shared" si="272"/>
        <v>0</v>
      </c>
      <c r="T1463" s="84"/>
      <c r="V1463" s="84"/>
      <c r="W1463" s="84"/>
      <c r="X1463" s="1030"/>
      <c r="Y1463" s="1031"/>
      <c r="Z1463" s="1032">
        <f t="shared" si="274"/>
        <v>0</v>
      </c>
      <c r="AA1463" s="1033"/>
      <c r="AB1463" s="84">
        <f t="shared" si="268"/>
        <v>0</v>
      </c>
      <c r="AE1463" s="84">
        <f t="shared" si="275"/>
        <v>0</v>
      </c>
    </row>
    <row r="1464" spans="1:31" hidden="1" x14ac:dyDescent="0.25">
      <c r="A1464" s="84"/>
      <c r="B1464" s="84"/>
      <c r="C1464" s="84"/>
      <c r="D1464" s="84"/>
      <c r="F1464" s="782">
        <v>461</v>
      </c>
      <c r="G1464" s="783" t="s">
        <v>4116</v>
      </c>
      <c r="H1464" s="763">
        <v>0</v>
      </c>
      <c r="L1464" s="889"/>
      <c r="M1464" s="889"/>
      <c r="N1464" s="890"/>
      <c r="O1464" s="889"/>
      <c r="P1464" s="889"/>
      <c r="Q1464" s="889"/>
      <c r="R1464" s="890"/>
      <c r="S1464" s="889">
        <f t="shared" si="272"/>
        <v>0</v>
      </c>
      <c r="T1464" s="84"/>
      <c r="V1464" s="84"/>
      <c r="W1464" s="84"/>
      <c r="X1464" s="1030"/>
      <c r="Y1464" s="1031"/>
      <c r="Z1464" s="1032">
        <f t="shared" si="274"/>
        <v>0</v>
      </c>
      <c r="AA1464" s="1033"/>
      <c r="AB1464" s="84">
        <f t="shared" si="268"/>
        <v>0</v>
      </c>
      <c r="AE1464" s="84">
        <f t="shared" si="275"/>
        <v>0</v>
      </c>
    </row>
    <row r="1465" spans="1:31" ht="30" hidden="1" x14ac:dyDescent="0.25">
      <c r="A1465" s="84"/>
      <c r="B1465" s="84"/>
      <c r="C1465" s="84"/>
      <c r="D1465" s="84"/>
      <c r="E1465" s="994"/>
      <c r="F1465" s="782">
        <v>462</v>
      </c>
      <c r="G1465" s="783" t="s">
        <v>3810</v>
      </c>
      <c r="H1465" s="763">
        <v>0</v>
      </c>
      <c r="L1465" s="889"/>
      <c r="M1465" s="889"/>
      <c r="N1465" s="890"/>
      <c r="O1465" s="889"/>
      <c r="P1465" s="889"/>
      <c r="Q1465" s="889"/>
      <c r="R1465" s="890"/>
      <c r="S1465" s="889">
        <f t="shared" si="272"/>
        <v>0</v>
      </c>
      <c r="T1465" s="84"/>
      <c r="V1465" s="84"/>
      <c r="W1465" s="84"/>
      <c r="X1465" s="1030"/>
      <c r="Y1465" s="1031"/>
      <c r="Z1465" s="1032">
        <f t="shared" si="274"/>
        <v>0</v>
      </c>
      <c r="AA1465" s="1033"/>
      <c r="AB1465" s="84">
        <f t="shared" si="268"/>
        <v>0</v>
      </c>
      <c r="AE1465" s="84">
        <f t="shared" si="275"/>
        <v>0</v>
      </c>
    </row>
    <row r="1466" spans="1:31" hidden="1" x14ac:dyDescent="0.25">
      <c r="A1466" s="84"/>
      <c r="B1466" s="84"/>
      <c r="C1466" s="84"/>
      <c r="D1466" s="84"/>
      <c r="E1466" s="994"/>
      <c r="F1466" s="782">
        <v>4631</v>
      </c>
      <c r="G1466" s="783" t="s">
        <v>3811</v>
      </c>
      <c r="H1466" s="763">
        <v>0</v>
      </c>
      <c r="L1466" s="889"/>
      <c r="M1466" s="889"/>
      <c r="N1466" s="890"/>
      <c r="O1466" s="889"/>
      <c r="P1466" s="889"/>
      <c r="Q1466" s="889"/>
      <c r="R1466" s="890"/>
      <c r="S1466" s="889">
        <f t="shared" si="272"/>
        <v>0</v>
      </c>
      <c r="T1466" s="84"/>
      <c r="V1466" s="84"/>
      <c r="W1466" s="84"/>
      <c r="X1466" s="1030"/>
      <c r="Y1466" s="1031"/>
      <c r="Z1466" s="1032">
        <f t="shared" si="274"/>
        <v>0</v>
      </c>
      <c r="AA1466" s="1033"/>
      <c r="AB1466" s="84">
        <f t="shared" si="268"/>
        <v>0</v>
      </c>
      <c r="AE1466" s="84">
        <f t="shared" si="275"/>
        <v>0</v>
      </c>
    </row>
    <row r="1467" spans="1:31" hidden="1" x14ac:dyDescent="0.25">
      <c r="A1467" s="84"/>
      <c r="B1467" s="84"/>
      <c r="C1467" s="84"/>
      <c r="D1467" s="84"/>
      <c r="E1467" s="994"/>
      <c r="F1467" s="782">
        <v>4632</v>
      </c>
      <c r="G1467" s="783" t="s">
        <v>3812</v>
      </c>
      <c r="H1467" s="763">
        <v>0</v>
      </c>
      <c r="L1467" s="889"/>
      <c r="M1467" s="889"/>
      <c r="N1467" s="890"/>
      <c r="O1467" s="889"/>
      <c r="P1467" s="889"/>
      <c r="Q1467" s="889"/>
      <c r="R1467" s="890"/>
      <c r="S1467" s="889">
        <f t="shared" si="272"/>
        <v>0</v>
      </c>
      <c r="T1467" s="84"/>
      <c r="V1467" s="84"/>
      <c r="W1467" s="84"/>
      <c r="X1467" s="1030"/>
      <c r="Y1467" s="1031"/>
      <c r="Z1467" s="1032">
        <f t="shared" si="274"/>
        <v>0</v>
      </c>
      <c r="AA1467" s="1033"/>
      <c r="AB1467" s="84">
        <f t="shared" ref="AB1467:AB1530" si="276">Z1467-AA1467</f>
        <v>0</v>
      </c>
      <c r="AE1467" s="84">
        <f t="shared" si="275"/>
        <v>0</v>
      </c>
    </row>
    <row r="1468" spans="1:31" ht="30" hidden="1" x14ac:dyDescent="0.25">
      <c r="A1468" s="84"/>
      <c r="B1468" s="84"/>
      <c r="C1468" s="84"/>
      <c r="D1468" s="84"/>
      <c r="E1468" s="994"/>
      <c r="F1468" s="782">
        <v>464</v>
      </c>
      <c r="G1468" s="783" t="s">
        <v>3813</v>
      </c>
      <c r="H1468" s="763">
        <v>0</v>
      </c>
      <c r="L1468" s="889"/>
      <c r="M1468" s="889"/>
      <c r="N1468" s="890"/>
      <c r="O1468" s="889"/>
      <c r="P1468" s="889"/>
      <c r="Q1468" s="889"/>
      <c r="R1468" s="890"/>
      <c r="S1468" s="889">
        <f t="shared" si="272"/>
        <v>0</v>
      </c>
      <c r="T1468" s="84"/>
      <c r="V1468" s="84"/>
      <c r="W1468" s="84"/>
      <c r="X1468" s="1030"/>
      <c r="Y1468" s="1031"/>
      <c r="Z1468" s="1032">
        <f t="shared" si="274"/>
        <v>0</v>
      </c>
      <c r="AA1468" s="1033"/>
      <c r="AB1468" s="84">
        <f t="shared" si="276"/>
        <v>0</v>
      </c>
      <c r="AE1468" s="84">
        <f t="shared" si="275"/>
        <v>0</v>
      </c>
    </row>
    <row r="1469" spans="1:31" hidden="1" x14ac:dyDescent="0.25">
      <c r="A1469" s="84"/>
      <c r="B1469" s="84"/>
      <c r="C1469" s="84"/>
      <c r="D1469" s="84"/>
      <c r="E1469" s="994"/>
      <c r="F1469" s="782">
        <v>465</v>
      </c>
      <c r="G1469" s="783" t="s">
        <v>4117</v>
      </c>
      <c r="H1469" s="763">
        <v>0</v>
      </c>
      <c r="L1469" s="889"/>
      <c r="M1469" s="889"/>
      <c r="N1469" s="890"/>
      <c r="O1469" s="889"/>
      <c r="P1469" s="889"/>
      <c r="Q1469" s="889"/>
      <c r="R1469" s="890"/>
      <c r="S1469" s="889">
        <f t="shared" si="272"/>
        <v>0</v>
      </c>
      <c r="T1469" s="84"/>
      <c r="V1469" s="84"/>
      <c r="W1469" s="84"/>
      <c r="X1469" s="1030"/>
      <c r="Y1469" s="1031"/>
      <c r="Z1469" s="1032">
        <f t="shared" si="274"/>
        <v>0</v>
      </c>
      <c r="AA1469" s="1033"/>
      <c r="AB1469" s="84">
        <f t="shared" si="276"/>
        <v>0</v>
      </c>
      <c r="AE1469" s="84">
        <f t="shared" si="275"/>
        <v>0</v>
      </c>
    </row>
    <row r="1470" spans="1:31" hidden="1" x14ac:dyDescent="0.25">
      <c r="A1470" s="84"/>
      <c r="B1470" s="84"/>
      <c r="C1470" s="84"/>
      <c r="D1470" s="84"/>
      <c r="E1470" s="994"/>
      <c r="F1470" s="782">
        <v>472</v>
      </c>
      <c r="G1470" s="783" t="s">
        <v>3817</v>
      </c>
      <c r="H1470" s="763">
        <v>0</v>
      </c>
      <c r="L1470" s="889"/>
      <c r="M1470" s="889"/>
      <c r="N1470" s="890"/>
      <c r="O1470" s="889"/>
      <c r="P1470" s="889"/>
      <c r="Q1470" s="889"/>
      <c r="R1470" s="890"/>
      <c r="S1470" s="889">
        <f t="shared" si="272"/>
        <v>0</v>
      </c>
      <c r="T1470" s="84"/>
      <c r="V1470" s="84"/>
      <c r="W1470" s="84"/>
      <c r="X1470" s="1030"/>
      <c r="Y1470" s="1031"/>
      <c r="Z1470" s="1032">
        <f t="shared" si="274"/>
        <v>0</v>
      </c>
      <c r="AA1470" s="1033"/>
      <c r="AB1470" s="84">
        <f t="shared" si="276"/>
        <v>0</v>
      </c>
      <c r="AE1470" s="84">
        <f t="shared" si="275"/>
        <v>0</v>
      </c>
    </row>
    <row r="1471" spans="1:31" hidden="1" x14ac:dyDescent="0.25">
      <c r="A1471" s="84"/>
      <c r="B1471" s="84"/>
      <c r="C1471" s="84"/>
      <c r="D1471" s="84"/>
      <c r="E1471" s="994"/>
      <c r="F1471" s="782">
        <v>481</v>
      </c>
      <c r="G1471" s="783" t="s">
        <v>4136</v>
      </c>
      <c r="H1471" s="763">
        <v>0</v>
      </c>
      <c r="L1471" s="889"/>
      <c r="M1471" s="889"/>
      <c r="N1471" s="890"/>
      <c r="O1471" s="889"/>
      <c r="P1471" s="889"/>
      <c r="Q1471" s="889"/>
      <c r="R1471" s="890"/>
      <c r="S1471" s="889">
        <f t="shared" si="272"/>
        <v>0</v>
      </c>
      <c r="T1471" s="84"/>
      <c r="V1471" s="84"/>
      <c r="W1471" s="84"/>
      <c r="X1471" s="1030"/>
      <c r="Y1471" s="1031"/>
      <c r="Z1471" s="1032">
        <f t="shared" si="274"/>
        <v>0</v>
      </c>
      <c r="AA1471" s="1033"/>
      <c r="AB1471" s="84">
        <f t="shared" si="276"/>
        <v>0</v>
      </c>
      <c r="AE1471" s="84">
        <f t="shared" si="275"/>
        <v>0</v>
      </c>
    </row>
    <row r="1472" spans="1:31" hidden="1" x14ac:dyDescent="0.25">
      <c r="A1472" s="84"/>
      <c r="B1472" s="84"/>
      <c r="C1472" s="84"/>
      <c r="D1472" s="84"/>
      <c r="E1472" s="994"/>
      <c r="F1472" s="782">
        <v>482</v>
      </c>
      <c r="G1472" s="783" t="s">
        <v>4137</v>
      </c>
      <c r="H1472" s="763">
        <v>0</v>
      </c>
      <c r="L1472" s="889"/>
      <c r="M1472" s="889"/>
      <c r="N1472" s="890"/>
      <c r="O1472" s="889"/>
      <c r="P1472" s="889"/>
      <c r="Q1472" s="889"/>
      <c r="R1472" s="890"/>
      <c r="S1472" s="889">
        <f t="shared" si="272"/>
        <v>0</v>
      </c>
      <c r="T1472" s="84"/>
      <c r="V1472" s="84"/>
      <c r="W1472" s="84"/>
      <c r="X1472" s="1030"/>
      <c r="Y1472" s="1031"/>
      <c r="Z1472" s="1032">
        <f t="shared" si="274"/>
        <v>0</v>
      </c>
      <c r="AA1472" s="1033"/>
      <c r="AB1472" s="84">
        <f t="shared" si="276"/>
        <v>0</v>
      </c>
      <c r="AE1472" s="84">
        <f t="shared" si="275"/>
        <v>0</v>
      </c>
    </row>
    <row r="1473" spans="1:31" hidden="1" x14ac:dyDescent="0.25">
      <c r="A1473" s="84"/>
      <c r="B1473" s="84"/>
      <c r="C1473" s="84"/>
      <c r="D1473" s="84"/>
      <c r="E1473" s="994"/>
      <c r="F1473" s="782">
        <v>483</v>
      </c>
      <c r="G1473" s="876" t="s">
        <v>4138</v>
      </c>
      <c r="H1473" s="763">
        <v>0</v>
      </c>
      <c r="L1473" s="889"/>
      <c r="M1473" s="889"/>
      <c r="N1473" s="890"/>
      <c r="O1473" s="889"/>
      <c r="P1473" s="889"/>
      <c r="Q1473" s="889"/>
      <c r="R1473" s="890"/>
      <c r="S1473" s="889">
        <f t="shared" si="272"/>
        <v>0</v>
      </c>
      <c r="T1473" s="84"/>
      <c r="V1473" s="84"/>
      <c r="W1473" s="84"/>
      <c r="X1473" s="1030"/>
      <c r="Y1473" s="1031"/>
      <c r="Z1473" s="1032">
        <f t="shared" si="274"/>
        <v>0</v>
      </c>
      <c r="AA1473" s="1033"/>
      <c r="AB1473" s="84">
        <f t="shared" si="276"/>
        <v>0</v>
      </c>
      <c r="AE1473" s="84">
        <f t="shared" si="275"/>
        <v>0</v>
      </c>
    </row>
    <row r="1474" spans="1:31" ht="45" hidden="1" x14ac:dyDescent="0.25">
      <c r="A1474" s="84"/>
      <c r="B1474" s="84"/>
      <c r="C1474" s="84"/>
      <c r="D1474" s="84"/>
      <c r="E1474" s="994"/>
      <c r="F1474" s="782">
        <v>484</v>
      </c>
      <c r="G1474" s="783" t="s">
        <v>4139</v>
      </c>
      <c r="H1474" s="763">
        <v>0</v>
      </c>
      <c r="L1474" s="889"/>
      <c r="M1474" s="889"/>
      <c r="N1474" s="890"/>
      <c r="O1474" s="889"/>
      <c r="P1474" s="889"/>
      <c r="Q1474" s="889"/>
      <c r="R1474" s="890"/>
      <c r="S1474" s="889">
        <f t="shared" si="272"/>
        <v>0</v>
      </c>
      <c r="T1474" s="84"/>
      <c r="V1474" s="84"/>
      <c r="W1474" s="84"/>
      <c r="X1474" s="1030"/>
      <c r="Y1474" s="1031"/>
      <c r="Z1474" s="1032">
        <f t="shared" si="274"/>
        <v>0</v>
      </c>
      <c r="AA1474" s="1033"/>
      <c r="AB1474" s="84">
        <f t="shared" si="276"/>
        <v>0</v>
      </c>
      <c r="AE1474" s="84">
        <f t="shared" si="275"/>
        <v>0</v>
      </c>
    </row>
    <row r="1475" spans="1:31" ht="30" hidden="1" x14ac:dyDescent="0.25">
      <c r="A1475" s="84"/>
      <c r="B1475" s="84"/>
      <c r="C1475" s="84"/>
      <c r="D1475" s="84"/>
      <c r="E1475" s="994"/>
      <c r="F1475" s="782">
        <v>485</v>
      </c>
      <c r="G1475" s="783" t="s">
        <v>4140</v>
      </c>
      <c r="H1475" s="763">
        <v>0</v>
      </c>
      <c r="L1475" s="889"/>
      <c r="M1475" s="889"/>
      <c r="N1475" s="890"/>
      <c r="O1475" s="889"/>
      <c r="P1475" s="889"/>
      <c r="Q1475" s="889"/>
      <c r="R1475" s="890"/>
      <c r="S1475" s="889">
        <f t="shared" si="272"/>
        <v>0</v>
      </c>
      <c r="T1475" s="84"/>
      <c r="V1475" s="84"/>
      <c r="W1475" s="84"/>
      <c r="X1475" s="1030"/>
      <c r="Y1475" s="1031"/>
      <c r="Z1475" s="1032">
        <f t="shared" si="274"/>
        <v>0</v>
      </c>
      <c r="AA1475" s="1033"/>
      <c r="AB1475" s="84">
        <f t="shared" si="276"/>
        <v>0</v>
      </c>
      <c r="AE1475" s="84">
        <f t="shared" si="275"/>
        <v>0</v>
      </c>
    </row>
    <row r="1476" spans="1:31" ht="30" hidden="1" x14ac:dyDescent="0.25">
      <c r="A1476" s="84"/>
      <c r="B1476" s="84"/>
      <c r="C1476" s="84"/>
      <c r="D1476" s="84"/>
      <c r="E1476" s="994"/>
      <c r="F1476" s="782">
        <v>489</v>
      </c>
      <c r="G1476" s="783" t="s">
        <v>3825</v>
      </c>
      <c r="H1476" s="763">
        <v>0</v>
      </c>
      <c r="L1476" s="889"/>
      <c r="M1476" s="889"/>
      <c r="N1476" s="890"/>
      <c r="O1476" s="889"/>
      <c r="P1476" s="889"/>
      <c r="Q1476" s="889"/>
      <c r="R1476" s="890"/>
      <c r="S1476" s="889">
        <f t="shared" si="272"/>
        <v>0</v>
      </c>
      <c r="T1476" s="84"/>
      <c r="V1476" s="84"/>
      <c r="W1476" s="84"/>
      <c r="X1476" s="1030"/>
      <c r="Y1476" s="1031"/>
      <c r="Z1476" s="1032">
        <f t="shared" si="274"/>
        <v>0</v>
      </c>
      <c r="AA1476" s="1033"/>
      <c r="AB1476" s="84">
        <f t="shared" si="276"/>
        <v>0</v>
      </c>
      <c r="AE1476" s="84">
        <f t="shared" si="275"/>
        <v>0</v>
      </c>
    </row>
    <row r="1477" spans="1:31" ht="30" hidden="1" x14ac:dyDescent="0.25">
      <c r="A1477" s="84"/>
      <c r="B1477" s="84"/>
      <c r="C1477" s="84"/>
      <c r="D1477" s="84"/>
      <c r="E1477" s="994"/>
      <c r="F1477" s="782">
        <v>494</v>
      </c>
      <c r="G1477" s="783" t="s">
        <v>4118</v>
      </c>
      <c r="H1477" s="763">
        <v>0</v>
      </c>
      <c r="L1477" s="889"/>
      <c r="M1477" s="889"/>
      <c r="N1477" s="890"/>
      <c r="O1477" s="889"/>
      <c r="P1477" s="889"/>
      <c r="Q1477" s="889"/>
      <c r="R1477" s="890"/>
      <c r="S1477" s="889">
        <f t="shared" si="272"/>
        <v>0</v>
      </c>
      <c r="T1477" s="84"/>
      <c r="V1477" s="84"/>
      <c r="W1477" s="84"/>
      <c r="X1477" s="1030"/>
      <c r="Y1477" s="1031"/>
      <c r="Z1477" s="1032">
        <f t="shared" si="274"/>
        <v>0</v>
      </c>
      <c r="AA1477" s="1033"/>
      <c r="AB1477" s="84">
        <f t="shared" si="276"/>
        <v>0</v>
      </c>
      <c r="AE1477" s="84">
        <f t="shared" si="275"/>
        <v>0</v>
      </c>
    </row>
    <row r="1478" spans="1:31" ht="30" hidden="1" x14ac:dyDescent="0.25">
      <c r="A1478" s="84"/>
      <c r="B1478" s="84"/>
      <c r="C1478" s="84"/>
      <c r="D1478" s="84"/>
      <c r="E1478" s="994"/>
      <c r="F1478" s="782">
        <v>495</v>
      </c>
      <c r="G1478" s="783" t="s">
        <v>4119</v>
      </c>
      <c r="H1478" s="763">
        <v>0</v>
      </c>
      <c r="L1478" s="889"/>
      <c r="M1478" s="889"/>
      <c r="N1478" s="890"/>
      <c r="O1478" s="889"/>
      <c r="P1478" s="889"/>
      <c r="Q1478" s="889"/>
      <c r="R1478" s="890"/>
      <c r="S1478" s="889">
        <f t="shared" si="272"/>
        <v>0</v>
      </c>
      <c r="T1478" s="84"/>
      <c r="V1478" s="84"/>
      <c r="W1478" s="84"/>
      <c r="X1478" s="1030"/>
      <c r="Y1478" s="1031"/>
      <c r="Z1478" s="1032">
        <f t="shared" si="274"/>
        <v>0</v>
      </c>
      <c r="AA1478" s="1033"/>
      <c r="AB1478" s="84">
        <f t="shared" si="276"/>
        <v>0</v>
      </c>
      <c r="AE1478" s="84">
        <f t="shared" si="275"/>
        <v>0</v>
      </c>
    </row>
    <row r="1479" spans="1:31" ht="45" hidden="1" x14ac:dyDescent="0.25">
      <c r="A1479" s="84"/>
      <c r="B1479" s="84"/>
      <c r="C1479" s="84"/>
      <c r="D1479" s="84"/>
      <c r="E1479" s="994"/>
      <c r="F1479" s="782">
        <v>496</v>
      </c>
      <c r="G1479" s="783" t="s">
        <v>4120</v>
      </c>
      <c r="H1479" s="763">
        <v>0</v>
      </c>
      <c r="L1479" s="889"/>
      <c r="M1479" s="889"/>
      <c r="N1479" s="890"/>
      <c r="O1479" s="889"/>
      <c r="P1479" s="889"/>
      <c r="Q1479" s="889"/>
      <c r="R1479" s="890"/>
      <c r="S1479" s="889">
        <f t="shared" si="272"/>
        <v>0</v>
      </c>
      <c r="T1479" s="84"/>
      <c r="V1479" s="84"/>
      <c r="W1479" s="84"/>
      <c r="X1479" s="1030"/>
      <c r="Y1479" s="1031"/>
      <c r="Z1479" s="1032">
        <f t="shared" si="274"/>
        <v>0</v>
      </c>
      <c r="AA1479" s="1033"/>
      <c r="AB1479" s="84">
        <f t="shared" si="276"/>
        <v>0</v>
      </c>
      <c r="AE1479" s="84">
        <f t="shared" si="275"/>
        <v>0</v>
      </c>
    </row>
    <row r="1480" spans="1:31" ht="30" hidden="1" x14ac:dyDescent="0.25">
      <c r="A1480" s="84"/>
      <c r="B1480" s="84"/>
      <c r="C1480" s="84"/>
      <c r="D1480" s="84"/>
      <c r="E1480" s="994"/>
      <c r="F1480" s="782">
        <v>499</v>
      </c>
      <c r="G1480" s="783" t="s">
        <v>4121</v>
      </c>
      <c r="H1480" s="763">
        <v>0</v>
      </c>
      <c r="L1480" s="889"/>
      <c r="M1480" s="889"/>
      <c r="N1480" s="890"/>
      <c r="O1480" s="889"/>
      <c r="P1480" s="889"/>
      <c r="Q1480" s="889"/>
      <c r="R1480" s="890"/>
      <c r="S1480" s="889">
        <f t="shared" si="272"/>
        <v>0</v>
      </c>
      <c r="T1480" s="84"/>
      <c r="V1480" s="84"/>
      <c r="W1480" s="84"/>
      <c r="X1480" s="1030"/>
      <c r="Y1480" s="1031"/>
      <c r="Z1480" s="1032">
        <f t="shared" si="274"/>
        <v>0</v>
      </c>
      <c r="AA1480" s="1033"/>
      <c r="AB1480" s="84">
        <f t="shared" si="276"/>
        <v>0</v>
      </c>
      <c r="AE1480" s="84">
        <f t="shared" si="275"/>
        <v>0</v>
      </c>
    </row>
    <row r="1481" spans="1:31" hidden="1" x14ac:dyDescent="0.25">
      <c r="A1481" s="84"/>
      <c r="B1481" s="84"/>
      <c r="C1481" s="84"/>
      <c r="D1481" s="84"/>
      <c r="F1481" s="782">
        <v>511</v>
      </c>
      <c r="G1481" s="876" t="s">
        <v>4141</v>
      </c>
      <c r="H1481" s="763">
        <v>0</v>
      </c>
      <c r="L1481" s="889"/>
      <c r="M1481" s="889"/>
      <c r="N1481" s="890"/>
      <c r="O1481" s="889"/>
      <c r="P1481" s="889"/>
      <c r="Q1481" s="889"/>
      <c r="R1481" s="890"/>
      <c r="S1481" s="889">
        <f t="shared" si="272"/>
        <v>0</v>
      </c>
      <c r="T1481" s="84"/>
      <c r="V1481" s="84"/>
      <c r="W1481" s="84"/>
      <c r="X1481" s="1030"/>
      <c r="Y1481" s="1031"/>
      <c r="Z1481" s="1032">
        <f t="shared" si="274"/>
        <v>0</v>
      </c>
      <c r="AA1481" s="1033"/>
      <c r="AB1481" s="84">
        <f t="shared" si="276"/>
        <v>0</v>
      </c>
      <c r="AE1481" s="84">
        <f t="shared" si="275"/>
        <v>0</v>
      </c>
    </row>
    <row r="1482" spans="1:31" ht="15.75" hidden="1" thickBot="1" x14ac:dyDescent="0.3">
      <c r="A1482" s="84"/>
      <c r="B1482" s="84"/>
      <c r="C1482" s="84"/>
      <c r="D1482" s="84"/>
      <c r="F1482" s="782">
        <v>512</v>
      </c>
      <c r="G1482" s="876" t="s">
        <v>4142</v>
      </c>
      <c r="H1482" s="763">
        <v>0</v>
      </c>
      <c r="I1482" s="763">
        <v>0</v>
      </c>
      <c r="K1482" s="763">
        <f>H1482-I1482</f>
        <v>0</v>
      </c>
      <c r="L1482" s="889">
        <v>0</v>
      </c>
      <c r="M1482" s="889">
        <v>0</v>
      </c>
      <c r="N1482" s="890"/>
      <c r="O1482" s="889">
        <f>L1482-M1482</f>
        <v>0</v>
      </c>
      <c r="P1482" s="889">
        <f>L1482+H1482</f>
        <v>0</v>
      </c>
      <c r="Q1482" s="889">
        <f>M1482+I1482</f>
        <v>0</v>
      </c>
      <c r="R1482" s="890" t="e">
        <f>Q1482/P1482</f>
        <v>#DIV/0!</v>
      </c>
      <c r="S1482" s="889">
        <f>P1482-Q1482</f>
        <v>0</v>
      </c>
      <c r="T1482" s="84"/>
      <c r="V1482" s="84"/>
      <c r="W1482" s="84"/>
      <c r="X1482" s="1030"/>
      <c r="Y1482" s="1031"/>
      <c r="Z1482" s="1032">
        <f t="shared" si="274"/>
        <v>0</v>
      </c>
      <c r="AA1482" s="1033">
        <v>0</v>
      </c>
      <c r="AB1482" s="84">
        <f t="shared" si="276"/>
        <v>0</v>
      </c>
      <c r="AE1482" s="84">
        <f t="shared" si="275"/>
        <v>0</v>
      </c>
    </row>
    <row r="1483" spans="1:31" ht="15.75" hidden="1" thickBot="1" x14ac:dyDescent="0.3">
      <c r="A1483" s="84"/>
      <c r="B1483" s="84"/>
      <c r="C1483" s="84"/>
      <c r="D1483" s="84"/>
      <c r="F1483" s="782">
        <v>513</v>
      </c>
      <c r="G1483" s="876" t="s">
        <v>4143</v>
      </c>
      <c r="L1483" s="889"/>
      <c r="M1483" s="889"/>
      <c r="N1483" s="890"/>
      <c r="O1483" s="889"/>
      <c r="P1483" s="889"/>
      <c r="Q1483" s="889"/>
      <c r="R1483" s="890"/>
      <c r="S1483" s="889">
        <f t="shared" si="272"/>
        <v>0</v>
      </c>
      <c r="T1483" s="84"/>
      <c r="V1483" s="84"/>
      <c r="W1483" s="84"/>
      <c r="X1483" s="1030"/>
      <c r="Y1483" s="1031"/>
      <c r="Z1483" s="1032"/>
      <c r="AA1483" s="1033"/>
      <c r="AB1483" s="84">
        <f t="shared" si="276"/>
        <v>0</v>
      </c>
    </row>
    <row r="1484" spans="1:31" ht="15.75" hidden="1" thickBot="1" x14ac:dyDescent="0.3">
      <c r="A1484" s="84"/>
      <c r="B1484" s="84"/>
      <c r="C1484" s="84"/>
      <c r="D1484" s="84"/>
      <c r="F1484" s="782">
        <v>514</v>
      </c>
      <c r="G1484" s="783" t="s">
        <v>4144</v>
      </c>
      <c r="L1484" s="889"/>
      <c r="M1484" s="889"/>
      <c r="N1484" s="890"/>
      <c r="O1484" s="889"/>
      <c r="P1484" s="889"/>
      <c r="Q1484" s="889"/>
      <c r="R1484" s="890"/>
      <c r="S1484" s="889">
        <f t="shared" si="272"/>
        <v>0</v>
      </c>
      <c r="T1484" s="84"/>
      <c r="V1484" s="84"/>
      <c r="W1484" s="84"/>
      <c r="X1484" s="1030"/>
      <c r="Y1484" s="1031"/>
      <c r="Z1484" s="1032"/>
      <c r="AA1484" s="1033"/>
      <c r="AB1484" s="84">
        <f t="shared" si="276"/>
        <v>0</v>
      </c>
    </row>
    <row r="1485" spans="1:31" ht="15.75" hidden="1" thickBot="1" x14ac:dyDescent="0.3">
      <c r="A1485" s="84"/>
      <c r="B1485" s="84"/>
      <c r="C1485" s="84"/>
      <c r="D1485" s="84"/>
      <c r="F1485" s="782">
        <v>515</v>
      </c>
      <c r="G1485" s="783" t="s">
        <v>3836</v>
      </c>
      <c r="L1485" s="889"/>
      <c r="M1485" s="889"/>
      <c r="N1485" s="890"/>
      <c r="O1485" s="889"/>
      <c r="P1485" s="889"/>
      <c r="Q1485" s="889"/>
      <c r="R1485" s="890"/>
      <c r="S1485" s="889">
        <f t="shared" si="272"/>
        <v>0</v>
      </c>
      <c r="T1485" s="84"/>
      <c r="V1485" s="84"/>
      <c r="W1485" s="84"/>
      <c r="X1485" s="1030"/>
      <c r="Y1485" s="1031"/>
      <c r="Z1485" s="1032"/>
      <c r="AA1485" s="1033"/>
      <c r="AB1485" s="84">
        <f t="shared" si="276"/>
        <v>0</v>
      </c>
    </row>
    <row r="1486" spans="1:31" ht="15.75" hidden="1" thickBot="1" x14ac:dyDescent="0.3">
      <c r="A1486" s="84"/>
      <c r="B1486" s="84"/>
      <c r="C1486" s="84"/>
      <c r="D1486" s="84"/>
      <c r="F1486" s="782">
        <v>521</v>
      </c>
      <c r="G1486" s="783" t="s">
        <v>4145</v>
      </c>
      <c r="L1486" s="889"/>
      <c r="M1486" s="889"/>
      <c r="N1486" s="890"/>
      <c r="O1486" s="889"/>
      <c r="P1486" s="889"/>
      <c r="Q1486" s="889"/>
      <c r="R1486" s="890"/>
      <c r="S1486" s="889">
        <f t="shared" si="272"/>
        <v>0</v>
      </c>
      <c r="T1486" s="84"/>
      <c r="V1486" s="84"/>
      <c r="W1486" s="84"/>
      <c r="X1486" s="1030"/>
      <c r="Y1486" s="1031"/>
      <c r="Z1486" s="1032"/>
      <c r="AA1486" s="1033"/>
      <c r="AB1486" s="84">
        <f t="shared" si="276"/>
        <v>0</v>
      </c>
    </row>
    <row r="1487" spans="1:31" ht="15.75" hidden="1" thickBot="1" x14ac:dyDescent="0.3">
      <c r="A1487" s="84"/>
      <c r="B1487" s="84"/>
      <c r="C1487" s="84"/>
      <c r="D1487" s="84"/>
      <c r="F1487" s="782">
        <v>522</v>
      </c>
      <c r="G1487" s="783" t="s">
        <v>4146</v>
      </c>
      <c r="L1487" s="889"/>
      <c r="M1487" s="889"/>
      <c r="N1487" s="890"/>
      <c r="O1487" s="889"/>
      <c r="P1487" s="889"/>
      <c r="Q1487" s="889"/>
      <c r="R1487" s="890"/>
      <c r="S1487" s="889">
        <f t="shared" si="272"/>
        <v>0</v>
      </c>
      <c r="T1487" s="84"/>
      <c r="V1487" s="84"/>
      <c r="W1487" s="84"/>
      <c r="X1487" s="1030"/>
      <c r="Y1487" s="1031"/>
      <c r="Z1487" s="1032"/>
      <c r="AA1487" s="1033"/>
      <c r="AB1487" s="84">
        <f t="shared" si="276"/>
        <v>0</v>
      </c>
    </row>
    <row r="1488" spans="1:31" ht="15.75" hidden="1" thickBot="1" x14ac:dyDescent="0.3">
      <c r="A1488" s="84"/>
      <c r="B1488" s="84"/>
      <c r="C1488" s="84"/>
      <c r="D1488" s="84"/>
      <c r="F1488" s="782">
        <v>523</v>
      </c>
      <c r="G1488" s="783" t="s">
        <v>3841</v>
      </c>
      <c r="L1488" s="889"/>
      <c r="M1488" s="889"/>
      <c r="N1488" s="890"/>
      <c r="O1488" s="889"/>
      <c r="P1488" s="889"/>
      <c r="Q1488" s="889"/>
      <c r="R1488" s="890"/>
      <c r="S1488" s="889">
        <f t="shared" si="272"/>
        <v>0</v>
      </c>
      <c r="T1488" s="84"/>
      <c r="V1488" s="84"/>
      <c r="W1488" s="84"/>
      <c r="X1488" s="1030"/>
      <c r="Y1488" s="1031"/>
      <c r="Z1488" s="1032"/>
      <c r="AA1488" s="1033"/>
      <c r="AB1488" s="84">
        <f t="shared" si="276"/>
        <v>0</v>
      </c>
    </row>
    <row r="1489" spans="1:28" ht="15.75" hidden="1" thickBot="1" x14ac:dyDescent="0.3">
      <c r="A1489" s="84"/>
      <c r="B1489" s="84"/>
      <c r="C1489" s="84"/>
      <c r="D1489" s="84"/>
      <c r="F1489" s="782">
        <v>531</v>
      </c>
      <c r="G1489" s="783" t="s">
        <v>4122</v>
      </c>
      <c r="L1489" s="889"/>
      <c r="M1489" s="889"/>
      <c r="N1489" s="890"/>
      <c r="O1489" s="889"/>
      <c r="P1489" s="889"/>
      <c r="Q1489" s="889"/>
      <c r="R1489" s="890"/>
      <c r="S1489" s="889">
        <f t="shared" si="272"/>
        <v>0</v>
      </c>
      <c r="T1489" s="84"/>
      <c r="V1489" s="84"/>
      <c r="W1489" s="84"/>
      <c r="X1489" s="1030"/>
      <c r="Y1489" s="1031"/>
      <c r="Z1489" s="1032"/>
      <c r="AA1489" s="1033"/>
      <c r="AB1489" s="84">
        <f t="shared" si="276"/>
        <v>0</v>
      </c>
    </row>
    <row r="1490" spans="1:28" ht="15.75" hidden="1" thickBot="1" x14ac:dyDescent="0.3">
      <c r="A1490" s="84"/>
      <c r="B1490" s="84"/>
      <c r="C1490" s="84"/>
      <c r="D1490" s="84"/>
      <c r="F1490" s="782">
        <v>541</v>
      </c>
      <c r="G1490" s="783" t="s">
        <v>4147</v>
      </c>
      <c r="L1490" s="889"/>
      <c r="M1490" s="889"/>
      <c r="N1490" s="890"/>
      <c r="O1490" s="889"/>
      <c r="P1490" s="889"/>
      <c r="Q1490" s="889"/>
      <c r="R1490" s="890"/>
      <c r="S1490" s="889">
        <f t="shared" si="272"/>
        <v>0</v>
      </c>
      <c r="T1490" s="84"/>
      <c r="V1490" s="84"/>
      <c r="W1490" s="84"/>
      <c r="X1490" s="1030"/>
      <c r="Y1490" s="1031"/>
      <c r="Z1490" s="1032"/>
      <c r="AA1490" s="1033"/>
      <c r="AB1490" s="84">
        <f t="shared" si="276"/>
        <v>0</v>
      </c>
    </row>
    <row r="1491" spans="1:28" ht="15.75" hidden="1" thickBot="1" x14ac:dyDescent="0.3">
      <c r="A1491" s="84"/>
      <c r="B1491" s="84"/>
      <c r="C1491" s="84"/>
      <c r="D1491" s="84"/>
      <c r="F1491" s="782">
        <v>542</v>
      </c>
      <c r="G1491" s="783" t="s">
        <v>4148</v>
      </c>
      <c r="L1491" s="889"/>
      <c r="M1491" s="889"/>
      <c r="N1491" s="890"/>
      <c r="O1491" s="889"/>
      <c r="P1491" s="889"/>
      <c r="Q1491" s="889"/>
      <c r="R1491" s="890"/>
      <c r="S1491" s="889">
        <f t="shared" si="272"/>
        <v>0</v>
      </c>
      <c r="T1491" s="84"/>
      <c r="V1491" s="84"/>
      <c r="W1491" s="84"/>
      <c r="X1491" s="1030"/>
      <c r="Y1491" s="1031"/>
      <c r="Z1491" s="1032"/>
      <c r="AA1491" s="1033"/>
      <c r="AB1491" s="84">
        <f t="shared" si="276"/>
        <v>0</v>
      </c>
    </row>
    <row r="1492" spans="1:28" ht="15.75" hidden="1" thickBot="1" x14ac:dyDescent="0.3">
      <c r="A1492" s="84"/>
      <c r="B1492" s="84"/>
      <c r="C1492" s="84"/>
      <c r="D1492" s="84"/>
      <c r="F1492" s="782">
        <v>543</v>
      </c>
      <c r="G1492" s="783" t="s">
        <v>3846</v>
      </c>
      <c r="L1492" s="889"/>
      <c r="M1492" s="889"/>
      <c r="N1492" s="890"/>
      <c r="O1492" s="889"/>
      <c r="P1492" s="889"/>
      <c r="Q1492" s="889"/>
      <c r="R1492" s="890"/>
      <c r="S1492" s="889">
        <f t="shared" si="272"/>
        <v>0</v>
      </c>
      <c r="T1492" s="84"/>
      <c r="V1492" s="84"/>
      <c r="W1492" s="84"/>
      <c r="X1492" s="1030"/>
      <c r="Y1492" s="1031"/>
      <c r="Z1492" s="1032"/>
      <c r="AA1492" s="1033"/>
      <c r="AB1492" s="84">
        <f t="shared" si="276"/>
        <v>0</v>
      </c>
    </row>
    <row r="1493" spans="1:28" ht="45.75" hidden="1" thickBot="1" x14ac:dyDescent="0.3">
      <c r="A1493" s="84"/>
      <c r="B1493" s="84"/>
      <c r="C1493" s="84"/>
      <c r="D1493" s="84"/>
      <c r="F1493" s="782">
        <v>551</v>
      </c>
      <c r="G1493" s="783" t="s">
        <v>4123</v>
      </c>
      <c r="L1493" s="889"/>
      <c r="M1493" s="889"/>
      <c r="N1493" s="890"/>
      <c r="O1493" s="889"/>
      <c r="P1493" s="889"/>
      <c r="Q1493" s="889"/>
      <c r="R1493" s="890"/>
      <c r="S1493" s="889">
        <f t="shared" si="272"/>
        <v>0</v>
      </c>
      <c r="T1493" s="84"/>
      <c r="V1493" s="84"/>
      <c r="W1493" s="84"/>
      <c r="X1493" s="1030"/>
      <c r="Y1493" s="1031"/>
      <c r="Z1493" s="1032"/>
      <c r="AA1493" s="1033"/>
      <c r="AB1493" s="84">
        <f t="shared" si="276"/>
        <v>0</v>
      </c>
    </row>
    <row r="1494" spans="1:28" ht="15.75" hidden="1" thickBot="1" x14ac:dyDescent="0.3">
      <c r="A1494" s="84"/>
      <c r="B1494" s="84"/>
      <c r="C1494" s="84"/>
      <c r="D1494" s="84"/>
      <c r="F1494" s="785">
        <v>611</v>
      </c>
      <c r="G1494" s="876" t="s">
        <v>3852</v>
      </c>
      <c r="H1494" s="794"/>
      <c r="I1494" s="794"/>
      <c r="J1494" s="795"/>
      <c r="K1494" s="794"/>
      <c r="L1494" s="889"/>
      <c r="M1494" s="889"/>
      <c r="N1494" s="890"/>
      <c r="O1494" s="889"/>
      <c r="P1494" s="889"/>
      <c r="Q1494" s="889"/>
      <c r="R1494" s="890"/>
      <c r="S1494" s="889">
        <f t="shared" si="272"/>
        <v>0</v>
      </c>
      <c r="T1494" s="84"/>
      <c r="V1494" s="84"/>
      <c r="W1494" s="84"/>
      <c r="X1494" s="1030"/>
      <c r="Y1494" s="1031"/>
      <c r="Z1494" s="1032"/>
      <c r="AA1494" s="1033"/>
      <c r="AB1494" s="84">
        <f t="shared" si="276"/>
        <v>0</v>
      </c>
    </row>
    <row r="1495" spans="1:28" ht="15.75" hidden="1" thickBot="1" x14ac:dyDescent="0.3">
      <c r="A1495" s="84"/>
      <c r="B1495" s="84"/>
      <c r="C1495" s="84"/>
      <c r="D1495" s="84"/>
      <c r="F1495" s="785">
        <v>620</v>
      </c>
      <c r="G1495" s="876" t="s">
        <v>89</v>
      </c>
      <c r="H1495" s="794"/>
      <c r="I1495" s="794"/>
      <c r="J1495" s="795"/>
      <c r="K1495" s="794"/>
      <c r="L1495" s="889"/>
      <c r="M1495" s="889"/>
      <c r="N1495" s="890"/>
      <c r="O1495" s="889"/>
      <c r="P1495" s="889"/>
      <c r="Q1495" s="889"/>
      <c r="R1495" s="890"/>
      <c r="S1495" s="889">
        <f t="shared" si="272"/>
        <v>0</v>
      </c>
      <c r="T1495" s="84"/>
      <c r="V1495" s="84"/>
      <c r="W1495" s="84"/>
      <c r="X1495" s="1030"/>
      <c r="Y1495" s="1031"/>
      <c r="Z1495" s="1032"/>
      <c r="AA1495" s="1033"/>
      <c r="AB1495" s="84">
        <f t="shared" si="276"/>
        <v>0</v>
      </c>
    </row>
    <row r="1496" spans="1:28" x14ac:dyDescent="0.25">
      <c r="A1496" s="84"/>
      <c r="B1496" s="84"/>
      <c r="C1496" s="84"/>
      <c r="D1496" s="84"/>
      <c r="E1496" s="784"/>
      <c r="F1496" s="785"/>
      <c r="G1496" s="786" t="s">
        <v>4194</v>
      </c>
      <c r="H1496" s="787"/>
      <c r="I1496" s="787"/>
      <c r="J1496" s="788"/>
      <c r="K1496" s="787"/>
      <c r="L1496" s="913"/>
      <c r="M1496" s="913"/>
      <c r="N1496" s="914"/>
      <c r="O1496" s="913"/>
      <c r="P1496" s="913"/>
      <c r="Q1496" s="913"/>
      <c r="R1496" s="914"/>
      <c r="S1496" s="911"/>
      <c r="T1496" s="84"/>
      <c r="V1496" s="84"/>
      <c r="W1496" s="84"/>
      <c r="X1496" s="1030"/>
      <c r="Y1496" s="1031"/>
      <c r="Z1496" s="1032"/>
      <c r="AA1496" s="1033"/>
      <c r="AB1496" s="84">
        <f t="shared" si="276"/>
        <v>0</v>
      </c>
    </row>
    <row r="1497" spans="1:28" x14ac:dyDescent="0.25">
      <c r="E1497" s="791"/>
      <c r="F1497" s="792" t="s">
        <v>235</v>
      </c>
      <c r="G1497" s="793" t="s">
        <v>236</v>
      </c>
      <c r="H1497" s="794">
        <f>SUM(H1436:H1495)</f>
        <v>300000</v>
      </c>
      <c r="I1497" s="794">
        <f>SUM(I1445:I1482)</f>
        <v>92362.7</v>
      </c>
      <c r="J1497" s="795">
        <f>I1497/H1497</f>
        <v>0.30787566666666666</v>
      </c>
      <c r="K1497" s="794">
        <f>SUM(K1436:K1495)</f>
        <v>207637.3</v>
      </c>
      <c r="L1497" s="918">
        <v>0</v>
      </c>
      <c r="M1497" s="918">
        <v>0</v>
      </c>
      <c r="N1497" s="919"/>
      <c r="O1497" s="918">
        <v>0</v>
      </c>
      <c r="P1497" s="918">
        <f>L1497+H1497</f>
        <v>300000</v>
      </c>
      <c r="Q1497" s="918">
        <f>M1497+I1497</f>
        <v>92362.7</v>
      </c>
      <c r="R1497" s="919">
        <f>Q1497/P1497</f>
        <v>0.30787566666666666</v>
      </c>
      <c r="S1497" s="918">
        <f>P1497-Q1497</f>
        <v>207637.3</v>
      </c>
      <c r="V1497" s="84"/>
      <c r="W1497" s="84"/>
      <c r="X1497" s="1030"/>
      <c r="Y1497" s="1031"/>
      <c r="Z1497" s="1032"/>
      <c r="AA1497" s="1033"/>
      <c r="AB1497" s="84">
        <f t="shared" si="276"/>
        <v>0</v>
      </c>
    </row>
    <row r="1498" spans="1:28" hidden="1" x14ac:dyDescent="0.25">
      <c r="F1498" s="792" t="s">
        <v>237</v>
      </c>
      <c r="G1498" s="793" t="s">
        <v>238</v>
      </c>
      <c r="L1498" s="889"/>
      <c r="M1498" s="889"/>
      <c r="N1498" s="890"/>
      <c r="O1498" s="889"/>
      <c r="P1498" s="889"/>
      <c r="Q1498" s="889"/>
      <c r="R1498" s="890"/>
      <c r="S1498" s="918">
        <f t="shared" ref="S1498:S1512" si="277">SUM(H1498:L1498)</f>
        <v>0</v>
      </c>
      <c r="V1498" s="84"/>
      <c r="W1498" s="84"/>
      <c r="X1498" s="1030"/>
      <c r="Y1498" s="1031"/>
      <c r="Z1498" s="1032"/>
      <c r="AA1498" s="1033"/>
      <c r="AB1498" s="84">
        <f t="shared" si="276"/>
        <v>0</v>
      </c>
    </row>
    <row r="1499" spans="1:28" hidden="1" x14ac:dyDescent="0.25">
      <c r="F1499" s="792" t="s">
        <v>239</v>
      </c>
      <c r="G1499" s="793" t="s">
        <v>240</v>
      </c>
      <c r="L1499" s="889"/>
      <c r="M1499" s="889"/>
      <c r="N1499" s="890"/>
      <c r="O1499" s="889"/>
      <c r="P1499" s="889"/>
      <c r="Q1499" s="889"/>
      <c r="R1499" s="890"/>
      <c r="S1499" s="918">
        <f t="shared" si="277"/>
        <v>0</v>
      </c>
      <c r="V1499" s="84"/>
      <c r="W1499" s="84"/>
      <c r="X1499" s="1030"/>
      <c r="Y1499" s="1031"/>
      <c r="Z1499" s="1032"/>
      <c r="AA1499" s="1033"/>
      <c r="AB1499" s="84">
        <f t="shared" si="276"/>
        <v>0</v>
      </c>
    </row>
    <row r="1500" spans="1:28" hidden="1" x14ac:dyDescent="0.25">
      <c r="F1500" s="792" t="s">
        <v>241</v>
      </c>
      <c r="G1500" s="793" t="s">
        <v>242</v>
      </c>
      <c r="L1500" s="889"/>
      <c r="M1500" s="889"/>
      <c r="N1500" s="890"/>
      <c r="O1500" s="889"/>
      <c r="P1500" s="889"/>
      <c r="Q1500" s="889"/>
      <c r="R1500" s="890"/>
      <c r="S1500" s="918">
        <f t="shared" si="277"/>
        <v>0</v>
      </c>
      <c r="AB1500" s="84">
        <f t="shared" si="276"/>
        <v>0</v>
      </c>
    </row>
    <row r="1501" spans="1:28" hidden="1" x14ac:dyDescent="0.25">
      <c r="F1501" s="792" t="s">
        <v>243</v>
      </c>
      <c r="G1501" s="793" t="s">
        <v>244</v>
      </c>
      <c r="L1501" s="889"/>
      <c r="M1501" s="889"/>
      <c r="N1501" s="890"/>
      <c r="O1501" s="889"/>
      <c r="P1501" s="889"/>
      <c r="Q1501" s="889"/>
      <c r="R1501" s="890"/>
      <c r="S1501" s="918">
        <f t="shared" si="277"/>
        <v>0</v>
      </c>
      <c r="AB1501" s="84">
        <f t="shared" si="276"/>
        <v>0</v>
      </c>
    </row>
    <row r="1502" spans="1:28" hidden="1" x14ac:dyDescent="0.25">
      <c r="F1502" s="792" t="s">
        <v>245</v>
      </c>
      <c r="G1502" s="793" t="s">
        <v>246</v>
      </c>
      <c r="L1502" s="889"/>
      <c r="M1502" s="889"/>
      <c r="N1502" s="890"/>
      <c r="O1502" s="889"/>
      <c r="P1502" s="889"/>
      <c r="Q1502" s="889"/>
      <c r="R1502" s="890"/>
      <c r="S1502" s="918">
        <f t="shared" si="277"/>
        <v>0</v>
      </c>
      <c r="AB1502" s="84">
        <f t="shared" si="276"/>
        <v>0</v>
      </c>
    </row>
    <row r="1503" spans="1:28" s="204" customFormat="1" ht="15.75" thickBot="1" x14ac:dyDescent="0.3">
      <c r="A1503" s="884"/>
      <c r="B1503" s="885"/>
      <c r="C1503" s="907"/>
      <c r="D1503" s="884"/>
      <c r="E1503" s="885"/>
      <c r="F1503" s="933" t="s">
        <v>247</v>
      </c>
      <c r="G1503" s="917" t="s">
        <v>4745</v>
      </c>
      <c r="H1503" s="934">
        <v>0</v>
      </c>
      <c r="I1503" s="934">
        <v>0</v>
      </c>
      <c r="J1503" s="935"/>
      <c r="K1503" s="934">
        <v>0</v>
      </c>
      <c r="L1503" s="889">
        <f>SUM(L1445:L1482)</f>
        <v>470000</v>
      </c>
      <c r="M1503" s="889">
        <f>SUM(M1445:M1482)</f>
        <v>278103.02</v>
      </c>
      <c r="N1503" s="890">
        <f>M1503/L1503</f>
        <v>0.59170855319148941</v>
      </c>
      <c r="O1503" s="889">
        <f>SUM(O1445:O1482)</f>
        <v>191896.97999999998</v>
      </c>
      <c r="P1503" s="889">
        <f>L1503+H1503</f>
        <v>470000</v>
      </c>
      <c r="Q1503" s="889">
        <f>M1503+I1503</f>
        <v>278103.02</v>
      </c>
      <c r="R1503" s="890">
        <f>Q1503/P1503</f>
        <v>0.59170855319148941</v>
      </c>
      <c r="S1503" s="918">
        <f>P1503-Q1503</f>
        <v>191896.97999999998</v>
      </c>
      <c r="T1503" s="873"/>
      <c r="V1503" s="892"/>
      <c r="W1503" s="892"/>
      <c r="X1503" s="833"/>
      <c r="Y1503" s="834"/>
      <c r="Z1503" s="830"/>
      <c r="AA1503" s="831"/>
      <c r="AB1503" s="204">
        <f t="shared" si="276"/>
        <v>0</v>
      </c>
    </row>
    <row r="1504" spans="1:28" ht="30.75" hidden="1" thickBot="1" x14ac:dyDescent="0.3">
      <c r="F1504" s="792" t="s">
        <v>248</v>
      </c>
      <c r="G1504" s="793" t="s">
        <v>4744</v>
      </c>
      <c r="L1504" s="889"/>
      <c r="M1504" s="889"/>
      <c r="N1504" s="890"/>
      <c r="O1504" s="889"/>
      <c r="P1504" s="889"/>
      <c r="Q1504" s="889"/>
      <c r="R1504" s="890"/>
      <c r="S1504" s="918">
        <f t="shared" si="277"/>
        <v>0</v>
      </c>
      <c r="AB1504" s="84">
        <f t="shared" si="276"/>
        <v>0</v>
      </c>
    </row>
    <row r="1505" spans="1:28" ht="15.75" hidden="1" thickBot="1" x14ac:dyDescent="0.3">
      <c r="F1505" s="792" t="s">
        <v>249</v>
      </c>
      <c r="G1505" s="793" t="s">
        <v>58</v>
      </c>
      <c r="L1505" s="889"/>
      <c r="M1505" s="889"/>
      <c r="N1505" s="890"/>
      <c r="O1505" s="889"/>
      <c r="P1505" s="889"/>
      <c r="Q1505" s="889"/>
      <c r="R1505" s="890"/>
      <c r="S1505" s="918">
        <f t="shared" si="277"/>
        <v>0</v>
      </c>
      <c r="AB1505" s="84">
        <f t="shared" si="276"/>
        <v>0</v>
      </c>
    </row>
    <row r="1506" spans="1:28" ht="15.75" hidden="1" thickBot="1" x14ac:dyDescent="0.3">
      <c r="F1506" s="792" t="s">
        <v>250</v>
      </c>
      <c r="G1506" s="793" t="s">
        <v>251</v>
      </c>
      <c r="L1506" s="889"/>
      <c r="M1506" s="889"/>
      <c r="N1506" s="890"/>
      <c r="O1506" s="889"/>
      <c r="P1506" s="889"/>
      <c r="Q1506" s="889"/>
      <c r="R1506" s="890"/>
      <c r="S1506" s="918">
        <f t="shared" si="277"/>
        <v>0</v>
      </c>
      <c r="AB1506" s="84">
        <f t="shared" si="276"/>
        <v>0</v>
      </c>
    </row>
    <row r="1507" spans="1:28" ht="15.75" hidden="1" thickBot="1" x14ac:dyDescent="0.3">
      <c r="F1507" s="792" t="s">
        <v>252</v>
      </c>
      <c r="G1507" s="793" t="s">
        <v>253</v>
      </c>
      <c r="L1507" s="889"/>
      <c r="M1507" s="889"/>
      <c r="N1507" s="890"/>
      <c r="O1507" s="889"/>
      <c r="P1507" s="889"/>
      <c r="Q1507" s="889"/>
      <c r="R1507" s="890"/>
      <c r="S1507" s="918">
        <f t="shared" si="277"/>
        <v>0</v>
      </c>
      <c r="AB1507" s="84">
        <f t="shared" si="276"/>
        <v>0</v>
      </c>
    </row>
    <row r="1508" spans="1:28" ht="30.75" hidden="1" thickBot="1" x14ac:dyDescent="0.3">
      <c r="F1508" s="792" t="s">
        <v>254</v>
      </c>
      <c r="G1508" s="793" t="s">
        <v>255</v>
      </c>
      <c r="L1508" s="889"/>
      <c r="M1508" s="889"/>
      <c r="N1508" s="890"/>
      <c r="O1508" s="889"/>
      <c r="P1508" s="889"/>
      <c r="Q1508" s="889"/>
      <c r="R1508" s="890"/>
      <c r="S1508" s="918">
        <f t="shared" si="277"/>
        <v>0</v>
      </c>
      <c r="AB1508" s="84">
        <f t="shared" si="276"/>
        <v>0</v>
      </c>
    </row>
    <row r="1509" spans="1:28" ht="15.75" hidden="1" thickBot="1" x14ac:dyDescent="0.3">
      <c r="F1509" s="792" t="s">
        <v>256</v>
      </c>
      <c r="G1509" s="793" t="s">
        <v>257</v>
      </c>
      <c r="L1509" s="889"/>
      <c r="M1509" s="889"/>
      <c r="N1509" s="890"/>
      <c r="O1509" s="889"/>
      <c r="P1509" s="889"/>
      <c r="Q1509" s="889"/>
      <c r="R1509" s="890"/>
      <c r="S1509" s="918">
        <f t="shared" si="277"/>
        <v>0</v>
      </c>
      <c r="AB1509" s="84">
        <f t="shared" si="276"/>
        <v>0</v>
      </c>
    </row>
    <row r="1510" spans="1:28" ht="30.75" hidden="1" thickBot="1" x14ac:dyDescent="0.3">
      <c r="F1510" s="792" t="s">
        <v>258</v>
      </c>
      <c r="G1510" s="793" t="s">
        <v>259</v>
      </c>
      <c r="L1510" s="889"/>
      <c r="M1510" s="889"/>
      <c r="N1510" s="890"/>
      <c r="O1510" s="889"/>
      <c r="P1510" s="889"/>
      <c r="Q1510" s="889"/>
      <c r="R1510" s="890"/>
      <c r="S1510" s="918">
        <f t="shared" si="277"/>
        <v>0</v>
      </c>
      <c r="AB1510" s="84">
        <f t="shared" si="276"/>
        <v>0</v>
      </c>
    </row>
    <row r="1511" spans="1:28" ht="30.75" hidden="1" thickBot="1" x14ac:dyDescent="0.3">
      <c r="F1511" s="792" t="s">
        <v>260</v>
      </c>
      <c r="G1511" s="793" t="s">
        <v>261</v>
      </c>
      <c r="L1511" s="889"/>
      <c r="M1511" s="889"/>
      <c r="N1511" s="890"/>
      <c r="O1511" s="889"/>
      <c r="P1511" s="889"/>
      <c r="Q1511" s="889"/>
      <c r="R1511" s="890"/>
      <c r="S1511" s="918">
        <f t="shared" si="277"/>
        <v>0</v>
      </c>
      <c r="AB1511" s="84">
        <f t="shared" si="276"/>
        <v>0</v>
      </c>
    </row>
    <row r="1512" spans="1:28" ht="15.75" hidden="1" thickBot="1" x14ac:dyDescent="0.3">
      <c r="F1512" s="792" t="s">
        <v>262</v>
      </c>
      <c r="G1512" s="793" t="s">
        <v>263</v>
      </c>
      <c r="H1512" s="794"/>
      <c r="I1512" s="794"/>
      <c r="J1512" s="795"/>
      <c r="K1512" s="794"/>
      <c r="L1512" s="918"/>
      <c r="M1512" s="918"/>
      <c r="N1512" s="919"/>
      <c r="O1512" s="918"/>
      <c r="P1512" s="918"/>
      <c r="Q1512" s="918"/>
      <c r="R1512" s="919"/>
      <c r="S1512" s="918">
        <f t="shared" si="277"/>
        <v>0</v>
      </c>
      <c r="AB1512" s="84">
        <f t="shared" si="276"/>
        <v>0</v>
      </c>
    </row>
    <row r="1513" spans="1:28" ht="15.75" thickBot="1" x14ac:dyDescent="0.3">
      <c r="A1513" s="84"/>
      <c r="B1513" s="84"/>
      <c r="C1513" s="84"/>
      <c r="D1513" s="84"/>
      <c r="G1513" s="798" t="s">
        <v>4195</v>
      </c>
      <c r="H1513" s="799">
        <f>SUM(H1497:H1512)</f>
        <v>300000</v>
      </c>
      <c r="I1513" s="799">
        <f t="shared" ref="I1513:S1513" si="278">SUM(I1497:I1512)</f>
        <v>92362.7</v>
      </c>
      <c r="J1513" s="800">
        <f>I1513/H1513</f>
        <v>0.30787566666666666</v>
      </c>
      <c r="K1513" s="799">
        <f t="shared" si="278"/>
        <v>207637.3</v>
      </c>
      <c r="L1513" s="923">
        <f>SUM(L1497:L1512)</f>
        <v>470000</v>
      </c>
      <c r="M1513" s="923">
        <f t="shared" si="278"/>
        <v>278103.02</v>
      </c>
      <c r="N1513" s="924">
        <f t="shared" si="278"/>
        <v>0.59170855319148941</v>
      </c>
      <c r="O1513" s="923">
        <f t="shared" si="278"/>
        <v>191896.97999999998</v>
      </c>
      <c r="P1513" s="923">
        <f t="shared" si="278"/>
        <v>770000</v>
      </c>
      <c r="Q1513" s="923">
        <f t="shared" si="278"/>
        <v>370465.72000000003</v>
      </c>
      <c r="R1513" s="924">
        <f>Q1513/P1513</f>
        <v>0.48112431168831171</v>
      </c>
      <c r="S1513" s="923">
        <f t="shared" si="278"/>
        <v>399534.27999999997</v>
      </c>
      <c r="T1513" s="84"/>
      <c r="AB1513" s="84">
        <f t="shared" si="276"/>
        <v>0</v>
      </c>
    </row>
    <row r="1514" spans="1:28" collapsed="1" x14ac:dyDescent="0.25">
      <c r="A1514" s="84"/>
      <c r="B1514" s="84"/>
      <c r="C1514" s="84"/>
      <c r="D1514" s="84"/>
      <c r="E1514" s="784"/>
      <c r="F1514" s="785"/>
      <c r="G1514" s="803" t="s">
        <v>4737</v>
      </c>
      <c r="H1514" s="804"/>
      <c r="I1514" s="805"/>
      <c r="J1514" s="806"/>
      <c r="K1514" s="805"/>
      <c r="L1514" s="929"/>
      <c r="M1514" s="930"/>
      <c r="N1514" s="931"/>
      <c r="O1514" s="930"/>
      <c r="P1514" s="930"/>
      <c r="Q1514" s="930"/>
      <c r="R1514" s="931"/>
      <c r="S1514" s="932"/>
      <c r="T1514" s="84"/>
      <c r="AB1514" s="84">
        <f t="shared" si="276"/>
        <v>0</v>
      </c>
    </row>
    <row r="1515" spans="1:28" x14ac:dyDescent="0.25">
      <c r="A1515" s="84"/>
      <c r="B1515" s="84"/>
      <c r="C1515" s="84"/>
      <c r="D1515" s="84"/>
      <c r="E1515" s="791"/>
      <c r="F1515" s="792" t="s">
        <v>235</v>
      </c>
      <c r="G1515" s="793" t="s">
        <v>236</v>
      </c>
      <c r="H1515" s="794">
        <f>H1497</f>
        <v>300000</v>
      </c>
      <c r="I1515" s="794">
        <f t="shared" ref="I1515:S1515" si="279">I1497</f>
        <v>92362.7</v>
      </c>
      <c r="J1515" s="795">
        <f t="shared" si="279"/>
        <v>0.30787566666666666</v>
      </c>
      <c r="K1515" s="794">
        <f t="shared" si="279"/>
        <v>207637.3</v>
      </c>
      <c r="L1515" s="918">
        <f t="shared" si="279"/>
        <v>0</v>
      </c>
      <c r="M1515" s="918">
        <f t="shared" si="279"/>
        <v>0</v>
      </c>
      <c r="N1515" s="919">
        <f t="shared" si="279"/>
        <v>0</v>
      </c>
      <c r="O1515" s="918">
        <f t="shared" si="279"/>
        <v>0</v>
      </c>
      <c r="P1515" s="918">
        <f t="shared" si="279"/>
        <v>300000</v>
      </c>
      <c r="Q1515" s="918">
        <f t="shared" si="279"/>
        <v>92362.7</v>
      </c>
      <c r="R1515" s="919">
        <f t="shared" si="279"/>
        <v>0.30787566666666666</v>
      </c>
      <c r="S1515" s="918">
        <f t="shared" si="279"/>
        <v>207637.3</v>
      </c>
      <c r="T1515" s="84"/>
      <c r="AB1515" s="84">
        <f t="shared" si="276"/>
        <v>0</v>
      </c>
    </row>
    <row r="1516" spans="1:28" hidden="1" x14ac:dyDescent="0.25">
      <c r="A1516" s="84"/>
      <c r="B1516" s="84"/>
      <c r="C1516" s="84"/>
      <c r="D1516" s="84"/>
      <c r="F1516" s="792" t="s">
        <v>237</v>
      </c>
      <c r="G1516" s="793" t="s">
        <v>238</v>
      </c>
      <c r="L1516" s="889"/>
      <c r="M1516" s="889"/>
      <c r="N1516" s="890"/>
      <c r="O1516" s="889"/>
      <c r="P1516" s="889"/>
      <c r="Q1516" s="889"/>
      <c r="R1516" s="890"/>
      <c r="S1516" s="918">
        <f t="shared" ref="S1516:S1530" si="280">SUM(H1516:L1516)</f>
        <v>0</v>
      </c>
      <c r="T1516" s="84"/>
      <c r="V1516" s="84"/>
      <c r="W1516" s="84"/>
      <c r="X1516" s="1030"/>
      <c r="Y1516" s="1031"/>
      <c r="Z1516" s="1032"/>
      <c r="AA1516" s="1033"/>
      <c r="AB1516" s="84">
        <f t="shared" si="276"/>
        <v>0</v>
      </c>
    </row>
    <row r="1517" spans="1:28" hidden="1" x14ac:dyDescent="0.25">
      <c r="A1517" s="84"/>
      <c r="B1517" s="84"/>
      <c r="C1517" s="84"/>
      <c r="D1517" s="84"/>
      <c r="F1517" s="792" t="s">
        <v>239</v>
      </c>
      <c r="G1517" s="793" t="s">
        <v>240</v>
      </c>
      <c r="L1517" s="889"/>
      <c r="M1517" s="889"/>
      <c r="N1517" s="890"/>
      <c r="O1517" s="889"/>
      <c r="P1517" s="889"/>
      <c r="Q1517" s="889"/>
      <c r="R1517" s="890"/>
      <c r="S1517" s="918">
        <f t="shared" si="280"/>
        <v>0</v>
      </c>
      <c r="T1517" s="84"/>
      <c r="V1517" s="84"/>
      <c r="W1517" s="84"/>
      <c r="X1517" s="1030"/>
      <c r="Y1517" s="1031"/>
      <c r="Z1517" s="1032"/>
      <c r="AA1517" s="1033"/>
      <c r="AB1517" s="84">
        <f t="shared" si="276"/>
        <v>0</v>
      </c>
    </row>
    <row r="1518" spans="1:28" hidden="1" x14ac:dyDescent="0.25">
      <c r="A1518" s="84"/>
      <c r="B1518" s="84"/>
      <c r="C1518" s="84"/>
      <c r="D1518" s="84"/>
      <c r="F1518" s="792" t="s">
        <v>241</v>
      </c>
      <c r="G1518" s="793" t="s">
        <v>242</v>
      </c>
      <c r="L1518" s="889"/>
      <c r="M1518" s="889"/>
      <c r="N1518" s="890"/>
      <c r="O1518" s="889"/>
      <c r="P1518" s="889"/>
      <c r="Q1518" s="889"/>
      <c r="R1518" s="890"/>
      <c r="S1518" s="918">
        <f t="shared" si="280"/>
        <v>0</v>
      </c>
      <c r="T1518" s="84"/>
      <c r="V1518" s="84"/>
      <c r="W1518" s="84"/>
      <c r="X1518" s="1030"/>
      <c r="Y1518" s="1031"/>
      <c r="Z1518" s="1032"/>
      <c r="AA1518" s="1033"/>
      <c r="AB1518" s="84">
        <f t="shared" si="276"/>
        <v>0</v>
      </c>
    </row>
    <row r="1519" spans="1:28" hidden="1" x14ac:dyDescent="0.25">
      <c r="A1519" s="84"/>
      <c r="B1519" s="84"/>
      <c r="C1519" s="84"/>
      <c r="D1519" s="84"/>
      <c r="F1519" s="792" t="s">
        <v>243</v>
      </c>
      <c r="G1519" s="793" t="s">
        <v>244</v>
      </c>
      <c r="L1519" s="889"/>
      <c r="M1519" s="889"/>
      <c r="N1519" s="890"/>
      <c r="O1519" s="889"/>
      <c r="P1519" s="889"/>
      <c r="Q1519" s="889"/>
      <c r="R1519" s="890"/>
      <c r="S1519" s="918">
        <f t="shared" si="280"/>
        <v>0</v>
      </c>
      <c r="T1519" s="84"/>
      <c r="V1519" s="84"/>
      <c r="W1519" s="84"/>
      <c r="X1519" s="1030"/>
      <c r="Y1519" s="1031"/>
      <c r="Z1519" s="1032"/>
      <c r="AA1519" s="1033"/>
      <c r="AB1519" s="84">
        <f t="shared" si="276"/>
        <v>0</v>
      </c>
    </row>
    <row r="1520" spans="1:28" hidden="1" x14ac:dyDescent="0.25">
      <c r="A1520" s="84"/>
      <c r="B1520" s="84"/>
      <c r="C1520" s="84"/>
      <c r="D1520" s="84"/>
      <c r="F1520" s="792" t="s">
        <v>245</v>
      </c>
      <c r="G1520" s="793" t="s">
        <v>246</v>
      </c>
      <c r="L1520" s="889"/>
      <c r="M1520" s="889"/>
      <c r="N1520" s="890"/>
      <c r="O1520" s="889"/>
      <c r="P1520" s="889"/>
      <c r="Q1520" s="889"/>
      <c r="R1520" s="890"/>
      <c r="S1520" s="918">
        <f t="shared" si="280"/>
        <v>0</v>
      </c>
      <c r="T1520" s="84"/>
      <c r="V1520" s="84"/>
      <c r="W1520" s="84"/>
      <c r="X1520" s="1030"/>
      <c r="Y1520" s="1031"/>
      <c r="Z1520" s="1032"/>
      <c r="AA1520" s="1033"/>
      <c r="AB1520" s="84">
        <f t="shared" si="276"/>
        <v>0</v>
      </c>
    </row>
    <row r="1521" spans="1:31" ht="15.75" thickBot="1" x14ac:dyDescent="0.3">
      <c r="A1521" s="84"/>
      <c r="B1521" s="84"/>
      <c r="C1521" s="84"/>
      <c r="D1521" s="84"/>
      <c r="F1521" s="792" t="s">
        <v>247</v>
      </c>
      <c r="G1521" s="793" t="s">
        <v>4745</v>
      </c>
      <c r="H1521" s="763">
        <f>H1503</f>
        <v>0</v>
      </c>
      <c r="I1521" s="763">
        <f t="shared" ref="I1521:S1521" si="281">I1503</f>
        <v>0</v>
      </c>
      <c r="J1521" s="764">
        <f t="shared" si="281"/>
        <v>0</v>
      </c>
      <c r="K1521" s="763">
        <f t="shared" si="281"/>
        <v>0</v>
      </c>
      <c r="L1521" s="889">
        <f t="shared" si="281"/>
        <v>470000</v>
      </c>
      <c r="M1521" s="889">
        <f t="shared" si="281"/>
        <v>278103.02</v>
      </c>
      <c r="N1521" s="890">
        <f t="shared" si="281"/>
        <v>0.59170855319148941</v>
      </c>
      <c r="O1521" s="889">
        <f t="shared" si="281"/>
        <v>191896.97999999998</v>
      </c>
      <c r="P1521" s="889">
        <f t="shared" si="281"/>
        <v>470000</v>
      </c>
      <c r="Q1521" s="889">
        <f t="shared" si="281"/>
        <v>278103.02</v>
      </c>
      <c r="R1521" s="890">
        <f t="shared" si="281"/>
        <v>0.59170855319148941</v>
      </c>
      <c r="S1521" s="918">
        <f t="shared" si="281"/>
        <v>191896.97999999998</v>
      </c>
      <c r="T1521" s="84"/>
      <c r="V1521" s="84"/>
      <c r="W1521" s="84"/>
      <c r="X1521" s="1030"/>
      <c r="Y1521" s="1031"/>
      <c r="Z1521" s="1032"/>
      <c r="AA1521" s="1033"/>
      <c r="AB1521" s="84">
        <f t="shared" si="276"/>
        <v>0</v>
      </c>
    </row>
    <row r="1522" spans="1:31" ht="30.75" hidden="1" thickBot="1" x14ac:dyDescent="0.3">
      <c r="A1522" s="84"/>
      <c r="B1522" s="84"/>
      <c r="C1522" s="84"/>
      <c r="D1522" s="84"/>
      <c r="F1522" s="792" t="s">
        <v>248</v>
      </c>
      <c r="G1522" s="793" t="s">
        <v>4744</v>
      </c>
      <c r="L1522" s="889"/>
      <c r="M1522" s="889"/>
      <c r="N1522" s="890"/>
      <c r="O1522" s="889"/>
      <c r="P1522" s="889"/>
      <c r="Q1522" s="889"/>
      <c r="R1522" s="890"/>
      <c r="S1522" s="918">
        <f t="shared" si="280"/>
        <v>0</v>
      </c>
      <c r="T1522" s="84"/>
      <c r="V1522" s="84"/>
      <c r="W1522" s="84"/>
      <c r="X1522" s="1030"/>
      <c r="Y1522" s="1031"/>
      <c r="Z1522" s="1032"/>
      <c r="AA1522" s="1033"/>
      <c r="AB1522" s="84">
        <f t="shared" si="276"/>
        <v>0</v>
      </c>
    </row>
    <row r="1523" spans="1:31" ht="15.75" hidden="1" thickBot="1" x14ac:dyDescent="0.3">
      <c r="A1523" s="84"/>
      <c r="B1523" s="84"/>
      <c r="C1523" s="84"/>
      <c r="D1523" s="84"/>
      <c r="F1523" s="792" t="s">
        <v>249</v>
      </c>
      <c r="G1523" s="793" t="s">
        <v>58</v>
      </c>
      <c r="L1523" s="889"/>
      <c r="M1523" s="889"/>
      <c r="N1523" s="890"/>
      <c r="O1523" s="889"/>
      <c r="P1523" s="889"/>
      <c r="Q1523" s="889"/>
      <c r="R1523" s="890"/>
      <c r="S1523" s="918">
        <f t="shared" si="280"/>
        <v>0</v>
      </c>
      <c r="T1523" s="84"/>
      <c r="V1523" s="84"/>
      <c r="W1523" s="84"/>
      <c r="X1523" s="1030"/>
      <c r="Y1523" s="1031"/>
      <c r="Z1523" s="1032"/>
      <c r="AA1523" s="1033"/>
      <c r="AB1523" s="84">
        <f t="shared" si="276"/>
        <v>0</v>
      </c>
    </row>
    <row r="1524" spans="1:31" ht="15.75" hidden="1" thickBot="1" x14ac:dyDescent="0.3">
      <c r="A1524" s="84"/>
      <c r="B1524" s="84"/>
      <c r="C1524" s="84"/>
      <c r="D1524" s="84"/>
      <c r="F1524" s="792" t="s">
        <v>250</v>
      </c>
      <c r="G1524" s="793" t="s">
        <v>251</v>
      </c>
      <c r="L1524" s="889"/>
      <c r="M1524" s="889"/>
      <c r="N1524" s="890"/>
      <c r="O1524" s="889"/>
      <c r="P1524" s="889"/>
      <c r="Q1524" s="889"/>
      <c r="R1524" s="890"/>
      <c r="S1524" s="918">
        <f t="shared" si="280"/>
        <v>0</v>
      </c>
      <c r="T1524" s="84"/>
      <c r="V1524" s="84"/>
      <c r="W1524" s="84"/>
      <c r="X1524" s="1030"/>
      <c r="Y1524" s="1031"/>
      <c r="Z1524" s="1032"/>
      <c r="AA1524" s="1033"/>
      <c r="AB1524" s="84">
        <f t="shared" si="276"/>
        <v>0</v>
      </c>
    </row>
    <row r="1525" spans="1:31" ht="15.75" hidden="1" thickBot="1" x14ac:dyDescent="0.3">
      <c r="A1525" s="84"/>
      <c r="B1525" s="84"/>
      <c r="C1525" s="84"/>
      <c r="D1525" s="84"/>
      <c r="F1525" s="792" t="s">
        <v>252</v>
      </c>
      <c r="G1525" s="793" t="s">
        <v>253</v>
      </c>
      <c r="L1525" s="889"/>
      <c r="M1525" s="889"/>
      <c r="N1525" s="890"/>
      <c r="O1525" s="889"/>
      <c r="P1525" s="889"/>
      <c r="Q1525" s="889"/>
      <c r="R1525" s="890"/>
      <c r="S1525" s="918">
        <f t="shared" si="280"/>
        <v>0</v>
      </c>
      <c r="T1525" s="84"/>
      <c r="V1525" s="84"/>
      <c r="W1525" s="84"/>
      <c r="X1525" s="1030"/>
      <c r="Y1525" s="1031"/>
      <c r="Z1525" s="1032"/>
      <c r="AA1525" s="1033"/>
      <c r="AB1525" s="84">
        <f t="shared" si="276"/>
        <v>0</v>
      </c>
    </row>
    <row r="1526" spans="1:31" ht="30.75" hidden="1" thickBot="1" x14ac:dyDescent="0.3">
      <c r="A1526" s="84"/>
      <c r="B1526" s="84"/>
      <c r="C1526" s="84"/>
      <c r="D1526" s="84"/>
      <c r="F1526" s="792" t="s">
        <v>254</v>
      </c>
      <c r="G1526" s="793" t="s">
        <v>255</v>
      </c>
      <c r="L1526" s="889"/>
      <c r="M1526" s="889"/>
      <c r="N1526" s="890"/>
      <c r="O1526" s="889"/>
      <c r="P1526" s="889"/>
      <c r="Q1526" s="889"/>
      <c r="R1526" s="890"/>
      <c r="S1526" s="918">
        <f t="shared" si="280"/>
        <v>0</v>
      </c>
      <c r="T1526" s="84"/>
      <c r="V1526" s="84"/>
      <c r="W1526" s="84"/>
      <c r="X1526" s="1030"/>
      <c r="Y1526" s="1031"/>
      <c r="Z1526" s="1032"/>
      <c r="AA1526" s="1033"/>
      <c r="AB1526" s="84">
        <f t="shared" si="276"/>
        <v>0</v>
      </c>
    </row>
    <row r="1527" spans="1:31" ht="15.75" hidden="1" thickBot="1" x14ac:dyDescent="0.3">
      <c r="A1527" s="84"/>
      <c r="B1527" s="84"/>
      <c r="C1527" s="84"/>
      <c r="D1527" s="84"/>
      <c r="F1527" s="792" t="s">
        <v>256</v>
      </c>
      <c r="G1527" s="793" t="s">
        <v>257</v>
      </c>
      <c r="L1527" s="889"/>
      <c r="M1527" s="889"/>
      <c r="N1527" s="890"/>
      <c r="O1527" s="889"/>
      <c r="P1527" s="889"/>
      <c r="Q1527" s="889"/>
      <c r="R1527" s="890"/>
      <c r="S1527" s="918">
        <f t="shared" si="280"/>
        <v>0</v>
      </c>
      <c r="T1527" s="84"/>
      <c r="V1527" s="84"/>
      <c r="W1527" s="84"/>
      <c r="X1527" s="1030"/>
      <c r="Y1527" s="1031"/>
      <c r="Z1527" s="1032"/>
      <c r="AA1527" s="1033"/>
      <c r="AB1527" s="84">
        <f t="shared" si="276"/>
        <v>0</v>
      </c>
    </row>
    <row r="1528" spans="1:31" ht="30.75" hidden="1" thickBot="1" x14ac:dyDescent="0.3">
      <c r="A1528" s="84"/>
      <c r="B1528" s="84"/>
      <c r="C1528" s="84"/>
      <c r="D1528" s="84"/>
      <c r="F1528" s="792" t="s">
        <v>258</v>
      </c>
      <c r="G1528" s="793" t="s">
        <v>259</v>
      </c>
      <c r="L1528" s="889"/>
      <c r="M1528" s="889"/>
      <c r="N1528" s="890"/>
      <c r="O1528" s="889"/>
      <c r="P1528" s="889"/>
      <c r="Q1528" s="889"/>
      <c r="R1528" s="890"/>
      <c r="S1528" s="918">
        <f t="shared" si="280"/>
        <v>0</v>
      </c>
      <c r="T1528" s="84"/>
      <c r="V1528" s="84"/>
      <c r="W1528" s="84"/>
      <c r="X1528" s="1030"/>
      <c r="Y1528" s="1031"/>
      <c r="Z1528" s="1032"/>
      <c r="AA1528" s="1033"/>
      <c r="AB1528" s="84">
        <f t="shared" si="276"/>
        <v>0</v>
      </c>
    </row>
    <row r="1529" spans="1:31" ht="30.75" hidden="1" thickBot="1" x14ac:dyDescent="0.3">
      <c r="A1529" s="84"/>
      <c r="B1529" s="84"/>
      <c r="C1529" s="84"/>
      <c r="D1529" s="84"/>
      <c r="F1529" s="792" t="s">
        <v>260</v>
      </c>
      <c r="G1529" s="793" t="s">
        <v>261</v>
      </c>
      <c r="L1529" s="889"/>
      <c r="M1529" s="889"/>
      <c r="N1529" s="890"/>
      <c r="O1529" s="889"/>
      <c r="P1529" s="889"/>
      <c r="Q1529" s="889"/>
      <c r="R1529" s="890"/>
      <c r="S1529" s="918">
        <f t="shared" si="280"/>
        <v>0</v>
      </c>
      <c r="T1529" s="84"/>
      <c r="V1529" s="84"/>
      <c r="W1529" s="84"/>
      <c r="X1529" s="1030"/>
      <c r="Y1529" s="1031"/>
      <c r="Z1529" s="1032"/>
      <c r="AA1529" s="1033"/>
      <c r="AB1529" s="84">
        <f t="shared" si="276"/>
        <v>0</v>
      </c>
    </row>
    <row r="1530" spans="1:31" ht="15.75" hidden="1" thickBot="1" x14ac:dyDescent="0.3">
      <c r="A1530" s="84"/>
      <c r="B1530" s="84"/>
      <c r="C1530" s="84"/>
      <c r="D1530" s="84"/>
      <c r="F1530" s="792" t="s">
        <v>262</v>
      </c>
      <c r="G1530" s="793" t="s">
        <v>263</v>
      </c>
      <c r="H1530" s="794"/>
      <c r="I1530" s="794"/>
      <c r="J1530" s="795"/>
      <c r="K1530" s="794"/>
      <c r="L1530" s="918"/>
      <c r="M1530" s="918"/>
      <c r="N1530" s="919"/>
      <c r="O1530" s="918"/>
      <c r="P1530" s="918"/>
      <c r="Q1530" s="918"/>
      <c r="R1530" s="919"/>
      <c r="S1530" s="918">
        <f t="shared" si="280"/>
        <v>0</v>
      </c>
      <c r="T1530" s="84"/>
      <c r="V1530" s="84"/>
      <c r="W1530" s="84"/>
      <c r="X1530" s="1030"/>
      <c r="Y1530" s="1031"/>
      <c r="Z1530" s="1032"/>
      <c r="AA1530" s="1033"/>
      <c r="AB1530" s="84">
        <f t="shared" si="276"/>
        <v>0</v>
      </c>
    </row>
    <row r="1531" spans="1:31" ht="15.75" thickBot="1" x14ac:dyDescent="0.3">
      <c r="A1531" s="84"/>
      <c r="B1531" s="84"/>
      <c r="C1531" s="84"/>
      <c r="D1531" s="84"/>
      <c r="G1531" s="798" t="s">
        <v>4736</v>
      </c>
      <c r="H1531" s="799">
        <f>H1513</f>
        <v>300000</v>
      </c>
      <c r="I1531" s="799">
        <f t="shared" ref="I1531:S1531" si="282">I1513</f>
        <v>92362.7</v>
      </c>
      <c r="J1531" s="800">
        <f t="shared" si="282"/>
        <v>0.30787566666666666</v>
      </c>
      <c r="K1531" s="799">
        <f t="shared" si="282"/>
        <v>207637.3</v>
      </c>
      <c r="L1531" s="923">
        <f t="shared" si="282"/>
        <v>470000</v>
      </c>
      <c r="M1531" s="923">
        <f t="shared" si="282"/>
        <v>278103.02</v>
      </c>
      <c r="N1531" s="924">
        <f t="shared" si="282"/>
        <v>0.59170855319148941</v>
      </c>
      <c r="O1531" s="923">
        <f t="shared" si="282"/>
        <v>191896.97999999998</v>
      </c>
      <c r="P1531" s="923">
        <f t="shared" si="282"/>
        <v>770000</v>
      </c>
      <c r="Q1531" s="923">
        <f t="shared" si="282"/>
        <v>370465.72000000003</v>
      </c>
      <c r="R1531" s="924">
        <f t="shared" si="282"/>
        <v>0.48112431168831171</v>
      </c>
      <c r="S1531" s="923">
        <f t="shared" si="282"/>
        <v>399534.27999999997</v>
      </c>
      <c r="T1531" s="84"/>
      <c r="V1531" s="84"/>
      <c r="W1531" s="84"/>
      <c r="X1531" s="1030"/>
      <c r="Y1531" s="1031"/>
      <c r="Z1531" s="1032"/>
      <c r="AA1531" s="1033"/>
      <c r="AB1531" s="84">
        <f t="shared" ref="AB1531:AB1604" si="283">Z1531-AA1531</f>
        <v>0</v>
      </c>
    </row>
    <row r="1532" spans="1:31" x14ac:dyDescent="0.25">
      <c r="A1532" s="84"/>
      <c r="B1532" s="84"/>
      <c r="C1532" s="84"/>
      <c r="D1532" s="84"/>
      <c r="L1532" s="889"/>
      <c r="M1532" s="889"/>
      <c r="N1532" s="890"/>
      <c r="O1532" s="889"/>
      <c r="P1532" s="889"/>
      <c r="Q1532" s="889"/>
      <c r="R1532" s="890"/>
      <c r="S1532" s="889"/>
      <c r="T1532" s="84"/>
      <c r="V1532" s="84"/>
      <c r="W1532" s="84"/>
      <c r="X1532" s="1030"/>
      <c r="Y1532" s="1031"/>
      <c r="Z1532" s="1032"/>
      <c r="AA1532" s="1033"/>
      <c r="AB1532" s="84">
        <f t="shared" si="283"/>
        <v>0</v>
      </c>
    </row>
    <row r="1533" spans="1:31" ht="42.75" hidden="1" customHeight="1" x14ac:dyDescent="0.25">
      <c r="A1533" s="84"/>
      <c r="B1533" s="84"/>
      <c r="C1533" s="761" t="s">
        <v>4569</v>
      </c>
      <c r="D1533" s="770"/>
      <c r="G1533" s="938" t="s">
        <v>5330</v>
      </c>
      <c r="L1533" s="889"/>
      <c r="M1533" s="889"/>
      <c r="N1533" s="890"/>
      <c r="O1533" s="889"/>
      <c r="P1533" s="889"/>
      <c r="Q1533" s="889"/>
      <c r="R1533" s="890"/>
      <c r="S1533" s="889"/>
      <c r="T1533" s="84"/>
      <c r="V1533" s="84"/>
      <c r="W1533" s="84"/>
      <c r="X1533" s="1030"/>
      <c r="Y1533" s="1031"/>
      <c r="Z1533" s="1032"/>
      <c r="AA1533" s="1033"/>
      <c r="AB1533" s="84">
        <f t="shared" si="283"/>
        <v>0</v>
      </c>
    </row>
    <row r="1534" spans="1:31" ht="15" hidden="1" customHeight="1" x14ac:dyDescent="0.25">
      <c r="A1534" s="84"/>
      <c r="B1534" s="84"/>
      <c r="C1534" s="761"/>
      <c r="D1534" s="778">
        <v>820</v>
      </c>
      <c r="E1534" s="779"/>
      <c r="F1534" s="778"/>
      <c r="G1534" s="780" t="s">
        <v>208</v>
      </c>
      <c r="L1534" s="889"/>
      <c r="M1534" s="889"/>
      <c r="N1534" s="890"/>
      <c r="O1534" s="889"/>
      <c r="P1534" s="889"/>
      <c r="Q1534" s="889"/>
      <c r="R1534" s="890"/>
      <c r="S1534" s="889"/>
      <c r="T1534" s="84"/>
      <c r="V1534" s="84"/>
      <c r="W1534" s="84"/>
      <c r="X1534" s="1030"/>
      <c r="Y1534" s="1031"/>
      <c r="Z1534" s="1032"/>
      <c r="AA1534" s="1033"/>
      <c r="AB1534" s="84">
        <f t="shared" si="283"/>
        <v>0</v>
      </c>
    </row>
    <row r="1535" spans="1:31" ht="15.75" hidden="1" customHeight="1" thickBot="1" x14ac:dyDescent="0.3">
      <c r="A1535" s="84"/>
      <c r="B1535" s="84"/>
      <c r="C1535" s="84"/>
      <c r="D1535" s="84"/>
      <c r="E1535" s="760" t="s">
        <v>5273</v>
      </c>
      <c r="F1535" s="782">
        <v>512</v>
      </c>
      <c r="G1535" s="876" t="s">
        <v>4142</v>
      </c>
      <c r="H1535" s="763">
        <v>0</v>
      </c>
      <c r="I1535" s="763">
        <v>0</v>
      </c>
      <c r="K1535" s="763">
        <f>H1535-I1535</f>
        <v>0</v>
      </c>
      <c r="L1535" s="889">
        <v>0</v>
      </c>
      <c r="M1535" s="889">
        <v>0</v>
      </c>
      <c r="N1535" s="890" t="e">
        <f>M1535/L1535</f>
        <v>#DIV/0!</v>
      </c>
      <c r="O1535" s="889">
        <f>L1535-M1535</f>
        <v>0</v>
      </c>
      <c r="P1535" s="889">
        <f>L1535+H1535</f>
        <v>0</v>
      </c>
      <c r="Q1535" s="889">
        <f>M1535+I1535</f>
        <v>0</v>
      </c>
      <c r="R1535" s="890"/>
      <c r="S1535" s="889">
        <f>P1535-Q1535</f>
        <v>0</v>
      </c>
      <c r="T1535" s="84"/>
      <c r="V1535" s="84"/>
      <c r="W1535" s="84"/>
      <c r="X1535" s="1030"/>
      <c r="Y1535" s="1031"/>
      <c r="Z1535" s="1032">
        <f>H1535-X1535+Y1535</f>
        <v>0</v>
      </c>
      <c r="AA1535" s="1033">
        <v>0</v>
      </c>
      <c r="AB1535" s="84">
        <f t="shared" si="283"/>
        <v>0</v>
      </c>
      <c r="AE1535" s="84">
        <f>H1535-AA1535</f>
        <v>0</v>
      </c>
    </row>
    <row r="1536" spans="1:31" ht="15" hidden="1" customHeight="1" x14ac:dyDescent="0.25">
      <c r="A1536" s="84"/>
      <c r="B1536" s="84"/>
      <c r="C1536" s="84"/>
      <c r="D1536" s="84"/>
      <c r="E1536" s="784"/>
      <c r="F1536" s="785"/>
      <c r="G1536" s="786" t="s">
        <v>4194</v>
      </c>
      <c r="H1536" s="787"/>
      <c r="I1536" s="787"/>
      <c r="J1536" s="788"/>
      <c r="K1536" s="787"/>
      <c r="L1536" s="913"/>
      <c r="M1536" s="913"/>
      <c r="N1536" s="914"/>
      <c r="O1536" s="913"/>
      <c r="P1536" s="913"/>
      <c r="Q1536" s="913"/>
      <c r="R1536" s="914"/>
      <c r="S1536" s="911"/>
      <c r="T1536" s="84"/>
      <c r="V1536" s="84"/>
      <c r="W1536" s="84"/>
      <c r="X1536" s="1030"/>
      <c r="Y1536" s="1031"/>
      <c r="Z1536" s="1032"/>
      <c r="AA1536" s="1033"/>
      <c r="AB1536" s="84">
        <f t="shared" si="283"/>
        <v>0</v>
      </c>
    </row>
    <row r="1537" spans="1:28" s="204" customFormat="1" ht="15.75" hidden="1" customHeight="1" thickBot="1" x14ac:dyDescent="0.3">
      <c r="A1537" s="884"/>
      <c r="B1537" s="885"/>
      <c r="C1537" s="907"/>
      <c r="D1537" s="884"/>
      <c r="E1537" s="885"/>
      <c r="F1537" s="933" t="s">
        <v>247</v>
      </c>
      <c r="G1537" s="917" t="s">
        <v>4745</v>
      </c>
      <c r="H1537" s="934">
        <f>H1535</f>
        <v>0</v>
      </c>
      <c r="I1537" s="934">
        <f t="shared" ref="I1537:S1537" si="284">I1535</f>
        <v>0</v>
      </c>
      <c r="J1537" s="935">
        <f t="shared" si="284"/>
        <v>0</v>
      </c>
      <c r="K1537" s="934">
        <f t="shared" si="284"/>
        <v>0</v>
      </c>
      <c r="L1537" s="889">
        <f t="shared" si="284"/>
        <v>0</v>
      </c>
      <c r="M1537" s="889">
        <f t="shared" si="284"/>
        <v>0</v>
      </c>
      <c r="N1537" s="890" t="e">
        <f t="shared" si="284"/>
        <v>#DIV/0!</v>
      </c>
      <c r="O1537" s="889">
        <f t="shared" si="284"/>
        <v>0</v>
      </c>
      <c r="P1537" s="889">
        <f t="shared" si="284"/>
        <v>0</v>
      </c>
      <c r="Q1537" s="889">
        <f t="shared" si="284"/>
        <v>0</v>
      </c>
      <c r="R1537" s="890">
        <f t="shared" si="284"/>
        <v>0</v>
      </c>
      <c r="S1537" s="918">
        <f t="shared" si="284"/>
        <v>0</v>
      </c>
      <c r="T1537" s="873"/>
      <c r="V1537" s="892"/>
      <c r="W1537" s="892"/>
      <c r="X1537" s="833"/>
      <c r="Y1537" s="834"/>
      <c r="Z1537" s="830"/>
      <c r="AA1537" s="831"/>
      <c r="AB1537" s="204">
        <f t="shared" si="283"/>
        <v>0</v>
      </c>
    </row>
    <row r="1538" spans="1:28" ht="15.75" hidden="1" customHeight="1" thickBot="1" x14ac:dyDescent="0.3">
      <c r="A1538" s="84"/>
      <c r="B1538" s="84"/>
      <c r="C1538" s="84"/>
      <c r="D1538" s="84"/>
      <c r="G1538" s="798" t="s">
        <v>4195</v>
      </c>
      <c r="H1538" s="799">
        <f>H1537</f>
        <v>0</v>
      </c>
      <c r="I1538" s="799">
        <f t="shared" ref="I1538:S1538" si="285">I1537</f>
        <v>0</v>
      </c>
      <c r="J1538" s="800">
        <f t="shared" si="285"/>
        <v>0</v>
      </c>
      <c r="K1538" s="799">
        <f t="shared" si="285"/>
        <v>0</v>
      </c>
      <c r="L1538" s="923">
        <f t="shared" si="285"/>
        <v>0</v>
      </c>
      <c r="M1538" s="923">
        <f t="shared" si="285"/>
        <v>0</v>
      </c>
      <c r="N1538" s="924" t="e">
        <f t="shared" si="285"/>
        <v>#DIV/0!</v>
      </c>
      <c r="O1538" s="923">
        <f t="shared" si="285"/>
        <v>0</v>
      </c>
      <c r="P1538" s="923">
        <f t="shared" si="285"/>
        <v>0</v>
      </c>
      <c r="Q1538" s="923">
        <f t="shared" si="285"/>
        <v>0</v>
      </c>
      <c r="R1538" s="924">
        <f t="shared" si="285"/>
        <v>0</v>
      </c>
      <c r="S1538" s="923">
        <f t="shared" si="285"/>
        <v>0</v>
      </c>
      <c r="T1538" s="84"/>
      <c r="AB1538" s="84">
        <f t="shared" si="283"/>
        <v>0</v>
      </c>
    </row>
    <row r="1539" spans="1:28" ht="15" hidden="1" customHeight="1" collapsed="1" x14ac:dyDescent="0.25">
      <c r="A1539" s="84"/>
      <c r="B1539" s="84"/>
      <c r="C1539" s="84"/>
      <c r="D1539" s="84"/>
      <c r="E1539" s="784"/>
      <c r="F1539" s="785"/>
      <c r="G1539" s="803" t="s">
        <v>5331</v>
      </c>
      <c r="H1539" s="804"/>
      <c r="I1539" s="805"/>
      <c r="J1539" s="806"/>
      <c r="K1539" s="805"/>
      <c r="L1539" s="929"/>
      <c r="M1539" s="930"/>
      <c r="N1539" s="931"/>
      <c r="O1539" s="930"/>
      <c r="P1539" s="930"/>
      <c r="Q1539" s="930"/>
      <c r="R1539" s="931"/>
      <c r="S1539" s="932"/>
      <c r="T1539" s="84"/>
      <c r="AB1539" s="84">
        <f t="shared" si="283"/>
        <v>0</v>
      </c>
    </row>
    <row r="1540" spans="1:28" ht="15.75" hidden="1" customHeight="1" thickBot="1" x14ac:dyDescent="0.3">
      <c r="A1540" s="84"/>
      <c r="B1540" s="84"/>
      <c r="C1540" s="84"/>
      <c r="D1540" s="84"/>
      <c r="F1540" s="792" t="s">
        <v>247</v>
      </c>
      <c r="G1540" s="793" t="s">
        <v>4745</v>
      </c>
      <c r="H1540" s="763">
        <f>H1537</f>
        <v>0</v>
      </c>
      <c r="I1540" s="763">
        <f t="shared" ref="I1540:S1540" si="286">I1537</f>
        <v>0</v>
      </c>
      <c r="J1540" s="764">
        <f t="shared" si="286"/>
        <v>0</v>
      </c>
      <c r="K1540" s="763">
        <f t="shared" si="286"/>
        <v>0</v>
      </c>
      <c r="L1540" s="889">
        <f t="shared" si="286"/>
        <v>0</v>
      </c>
      <c r="M1540" s="889">
        <f t="shared" si="286"/>
        <v>0</v>
      </c>
      <c r="N1540" s="890" t="e">
        <f t="shared" si="286"/>
        <v>#DIV/0!</v>
      </c>
      <c r="O1540" s="889">
        <f t="shared" si="286"/>
        <v>0</v>
      </c>
      <c r="P1540" s="889">
        <f t="shared" si="286"/>
        <v>0</v>
      </c>
      <c r="Q1540" s="889">
        <f t="shared" si="286"/>
        <v>0</v>
      </c>
      <c r="R1540" s="890">
        <f t="shared" si="286"/>
        <v>0</v>
      </c>
      <c r="S1540" s="918">
        <f t="shared" si="286"/>
        <v>0</v>
      </c>
      <c r="T1540" s="84"/>
      <c r="V1540" s="84"/>
      <c r="W1540" s="84"/>
      <c r="X1540" s="1030"/>
      <c r="Y1540" s="1031"/>
      <c r="Z1540" s="1032"/>
      <c r="AA1540" s="1033"/>
      <c r="AB1540" s="84">
        <f t="shared" si="283"/>
        <v>0</v>
      </c>
    </row>
    <row r="1541" spans="1:28" ht="15.75" hidden="1" customHeight="1" thickBot="1" x14ac:dyDescent="0.3">
      <c r="A1541" s="84"/>
      <c r="B1541" s="84"/>
      <c r="C1541" s="84"/>
      <c r="D1541" s="84"/>
      <c r="G1541" s="798" t="s">
        <v>5332</v>
      </c>
      <c r="H1541" s="799">
        <f>H1540</f>
        <v>0</v>
      </c>
      <c r="I1541" s="799">
        <f t="shared" ref="I1541:S1541" si="287">I1540</f>
        <v>0</v>
      </c>
      <c r="J1541" s="800">
        <f t="shared" si="287"/>
        <v>0</v>
      </c>
      <c r="K1541" s="799">
        <f t="shared" si="287"/>
        <v>0</v>
      </c>
      <c r="L1541" s="923">
        <f t="shared" si="287"/>
        <v>0</v>
      </c>
      <c r="M1541" s="923">
        <f t="shared" si="287"/>
        <v>0</v>
      </c>
      <c r="N1541" s="924" t="e">
        <f t="shared" si="287"/>
        <v>#DIV/0!</v>
      </c>
      <c r="O1541" s="923">
        <f t="shared" si="287"/>
        <v>0</v>
      </c>
      <c r="P1541" s="923">
        <f t="shared" si="287"/>
        <v>0</v>
      </c>
      <c r="Q1541" s="923">
        <f t="shared" si="287"/>
        <v>0</v>
      </c>
      <c r="R1541" s="924">
        <f t="shared" si="287"/>
        <v>0</v>
      </c>
      <c r="S1541" s="923">
        <f t="shared" si="287"/>
        <v>0</v>
      </c>
      <c r="T1541" s="84"/>
      <c r="V1541" s="84"/>
      <c r="W1541" s="84"/>
      <c r="X1541" s="1030"/>
      <c r="Y1541" s="1031"/>
      <c r="Z1541" s="1032"/>
      <c r="AA1541" s="1033"/>
      <c r="AB1541" s="84">
        <f>Z1541-AA1541</f>
        <v>0</v>
      </c>
    </row>
    <row r="1542" spans="1:28" ht="15" hidden="1" customHeight="1" x14ac:dyDescent="0.25">
      <c r="A1542" s="84"/>
      <c r="B1542" s="84"/>
      <c r="C1542" s="84"/>
      <c r="D1542" s="84"/>
      <c r="L1542" s="889"/>
      <c r="M1542" s="889"/>
      <c r="N1542" s="890"/>
      <c r="O1542" s="889"/>
      <c r="P1542" s="889"/>
      <c r="Q1542" s="889"/>
      <c r="R1542" s="890"/>
      <c r="S1542" s="889"/>
      <c r="T1542" s="84"/>
      <c r="V1542" s="84"/>
      <c r="W1542" s="84"/>
      <c r="X1542" s="1030"/>
      <c r="Y1542" s="1031"/>
      <c r="Z1542" s="1032"/>
      <c r="AA1542" s="1033"/>
    </row>
    <row r="1543" spans="1:28" x14ac:dyDescent="0.25">
      <c r="A1543" s="84"/>
      <c r="B1543" s="84"/>
      <c r="C1543" s="84"/>
      <c r="D1543" s="84"/>
      <c r="E1543" s="784"/>
      <c r="F1543" s="785"/>
      <c r="G1543" s="821" t="s">
        <v>4182</v>
      </c>
      <c r="H1543" s="822"/>
      <c r="I1543" s="822"/>
      <c r="J1543" s="823"/>
      <c r="K1543" s="822"/>
      <c r="L1543" s="891"/>
      <c r="M1543" s="891"/>
      <c r="N1543" s="980"/>
      <c r="O1543" s="891"/>
      <c r="P1543" s="891"/>
      <c r="Q1543" s="891"/>
      <c r="R1543" s="980"/>
      <c r="S1543" s="978"/>
      <c r="T1543" s="84"/>
      <c r="V1543" s="84"/>
      <c r="W1543" s="84"/>
      <c r="X1543" s="1030"/>
      <c r="Y1543" s="1031"/>
      <c r="Z1543" s="1032"/>
      <c r="AA1543" s="1033"/>
      <c r="AB1543" s="84">
        <f t="shared" si="283"/>
        <v>0</v>
      </c>
    </row>
    <row r="1544" spans="1:28" x14ac:dyDescent="0.25">
      <c r="A1544" s="84"/>
      <c r="B1544" s="84"/>
      <c r="C1544" s="84"/>
      <c r="D1544" s="84"/>
      <c r="E1544" s="791"/>
      <c r="F1544" s="792" t="s">
        <v>235</v>
      </c>
      <c r="G1544" s="793" t="s">
        <v>236</v>
      </c>
      <c r="H1544" s="794">
        <f>H1515+H1416</f>
        <v>12589604</v>
      </c>
      <c r="I1544" s="794">
        <f>I1515+I1416</f>
        <v>7679242.1400000006</v>
      </c>
      <c r="J1544" s="795">
        <f>I1544/H1544</f>
        <v>0.60996693303458949</v>
      </c>
      <c r="K1544" s="794">
        <f>K1515+K1416</f>
        <v>4910361.8599999994</v>
      </c>
      <c r="L1544" s="918">
        <f t="shared" ref="L1544:S1544" si="288">L1515+L1416</f>
        <v>0</v>
      </c>
      <c r="M1544" s="918">
        <f t="shared" si="288"/>
        <v>0</v>
      </c>
      <c r="N1544" s="919"/>
      <c r="O1544" s="918">
        <f t="shared" si="288"/>
        <v>0</v>
      </c>
      <c r="P1544" s="918">
        <f>P1515+P1416</f>
        <v>12589604</v>
      </c>
      <c r="Q1544" s="918">
        <f t="shared" si="288"/>
        <v>7679242.1400000006</v>
      </c>
      <c r="R1544" s="919">
        <f>Q1544/P1544</f>
        <v>0.60996693303458949</v>
      </c>
      <c r="S1544" s="918">
        <f t="shared" si="288"/>
        <v>4910361.8599999994</v>
      </c>
      <c r="T1544" s="84"/>
      <c r="V1544" s="84"/>
      <c r="W1544" s="84"/>
      <c r="X1544" s="1030"/>
      <c r="Y1544" s="1031"/>
      <c r="Z1544" s="1032"/>
      <c r="AA1544" s="1033"/>
      <c r="AB1544" s="84">
        <f t="shared" si="283"/>
        <v>0</v>
      </c>
    </row>
    <row r="1545" spans="1:28" hidden="1" x14ac:dyDescent="0.25">
      <c r="A1545" s="84"/>
      <c r="B1545" s="84"/>
      <c r="C1545" s="84"/>
      <c r="D1545" s="84"/>
      <c r="F1545" s="792" t="s">
        <v>237</v>
      </c>
      <c r="G1545" s="793" t="s">
        <v>238</v>
      </c>
      <c r="L1545" s="889"/>
      <c r="M1545" s="889"/>
      <c r="N1545" s="890"/>
      <c r="O1545" s="889"/>
      <c r="P1545" s="889"/>
      <c r="Q1545" s="889"/>
      <c r="R1545" s="890"/>
      <c r="S1545" s="918">
        <f t="shared" ref="S1545:S1559" si="289">SUM(H1545:L1545)</f>
        <v>0</v>
      </c>
      <c r="T1545" s="84"/>
      <c r="V1545" s="84"/>
      <c r="W1545" s="84"/>
      <c r="X1545" s="1030"/>
      <c r="Y1545" s="1031"/>
      <c r="Z1545" s="1032"/>
      <c r="AA1545" s="1033"/>
      <c r="AB1545" s="84">
        <f t="shared" si="283"/>
        <v>0</v>
      </c>
    </row>
    <row r="1546" spans="1:28" hidden="1" x14ac:dyDescent="0.25">
      <c r="A1546" s="84"/>
      <c r="B1546" s="84"/>
      <c r="C1546" s="84"/>
      <c r="D1546" s="84"/>
      <c r="F1546" s="792" t="s">
        <v>239</v>
      </c>
      <c r="G1546" s="793" t="s">
        <v>240</v>
      </c>
      <c r="L1546" s="889"/>
      <c r="M1546" s="889"/>
      <c r="N1546" s="890"/>
      <c r="O1546" s="889"/>
      <c r="P1546" s="889"/>
      <c r="Q1546" s="889"/>
      <c r="R1546" s="890"/>
      <c r="S1546" s="918">
        <f t="shared" si="289"/>
        <v>0</v>
      </c>
      <c r="T1546" s="84"/>
      <c r="V1546" s="84"/>
      <c r="W1546" s="84"/>
      <c r="X1546" s="1030"/>
      <c r="Y1546" s="1031"/>
      <c r="Z1546" s="1032"/>
      <c r="AA1546" s="1033"/>
      <c r="AB1546" s="84">
        <f t="shared" si="283"/>
        <v>0</v>
      </c>
    </row>
    <row r="1547" spans="1:28" x14ac:dyDescent="0.25">
      <c r="A1547" s="84"/>
      <c r="B1547" s="84"/>
      <c r="C1547" s="84"/>
      <c r="D1547" s="84"/>
      <c r="F1547" s="792" t="s">
        <v>241</v>
      </c>
      <c r="G1547" s="793" t="s">
        <v>242</v>
      </c>
      <c r="H1547" s="763">
        <f>SUM(H1419)</f>
        <v>0</v>
      </c>
      <c r="I1547" s="763">
        <f t="shared" ref="I1547:S1547" si="290">SUM(I1419)</f>
        <v>0</v>
      </c>
      <c r="K1547" s="763">
        <f t="shared" si="290"/>
        <v>0</v>
      </c>
      <c r="L1547" s="889">
        <f>L1419</f>
        <v>827000</v>
      </c>
      <c r="M1547" s="889">
        <f>SUM(M1419)</f>
        <v>92354.46</v>
      </c>
      <c r="N1547" s="890">
        <f t="shared" si="290"/>
        <v>0.11167407496977026</v>
      </c>
      <c r="O1547" s="889">
        <f>SUM(O1419)</f>
        <v>734645.54</v>
      </c>
      <c r="P1547" s="889">
        <f t="shared" si="290"/>
        <v>827000</v>
      </c>
      <c r="Q1547" s="889">
        <f t="shared" si="290"/>
        <v>92354.46</v>
      </c>
      <c r="R1547" s="890">
        <f>Q1547/P1547</f>
        <v>0.11167407496977026</v>
      </c>
      <c r="S1547" s="918">
        <f t="shared" si="290"/>
        <v>734645.54</v>
      </c>
      <c r="T1547" s="84"/>
      <c r="V1547" s="84"/>
      <c r="W1547" s="84"/>
      <c r="X1547" s="1030"/>
      <c r="Y1547" s="1031"/>
      <c r="Z1547" s="1032"/>
      <c r="AA1547" s="1033"/>
      <c r="AB1547" s="84">
        <f t="shared" si="283"/>
        <v>0</v>
      </c>
    </row>
    <row r="1548" spans="1:28" hidden="1" x14ac:dyDescent="0.25">
      <c r="A1548" s="84"/>
      <c r="B1548" s="84"/>
      <c r="C1548" s="84"/>
      <c r="D1548" s="84"/>
      <c r="F1548" s="792" t="s">
        <v>243</v>
      </c>
      <c r="G1548" s="793" t="s">
        <v>244</v>
      </c>
      <c r="L1548" s="889"/>
      <c r="M1548" s="889"/>
      <c r="N1548" s="890"/>
      <c r="O1548" s="889"/>
      <c r="P1548" s="889"/>
      <c r="Q1548" s="889"/>
      <c r="R1548" s="890"/>
      <c r="S1548" s="918">
        <f t="shared" si="289"/>
        <v>0</v>
      </c>
      <c r="T1548" s="84"/>
      <c r="V1548" s="84"/>
      <c r="W1548" s="84"/>
      <c r="X1548" s="1030"/>
      <c r="Y1548" s="1031"/>
      <c r="Z1548" s="1032"/>
      <c r="AA1548" s="1033"/>
      <c r="AB1548" s="84">
        <f t="shared" si="283"/>
        <v>0</v>
      </c>
    </row>
    <row r="1549" spans="1:28" hidden="1" x14ac:dyDescent="0.25">
      <c r="A1549" s="84"/>
      <c r="B1549" s="84"/>
      <c r="C1549" s="84"/>
      <c r="D1549" s="84"/>
      <c r="F1549" s="792" t="s">
        <v>245</v>
      </c>
      <c r="G1549" s="793" t="s">
        <v>246</v>
      </c>
      <c r="L1549" s="889"/>
      <c r="M1549" s="889"/>
      <c r="N1549" s="890"/>
      <c r="O1549" s="889"/>
      <c r="P1549" s="889"/>
      <c r="Q1549" s="889"/>
      <c r="R1549" s="890"/>
      <c r="S1549" s="918">
        <f t="shared" si="289"/>
        <v>0</v>
      </c>
      <c r="T1549" s="84"/>
      <c r="V1549" s="84"/>
      <c r="W1549" s="84"/>
      <c r="X1549" s="1030"/>
      <c r="Y1549" s="1031"/>
      <c r="Z1549" s="1032"/>
      <c r="AA1549" s="1033"/>
      <c r="AB1549" s="84">
        <f t="shared" si="283"/>
        <v>0</v>
      </c>
    </row>
    <row r="1550" spans="1:28" x14ac:dyDescent="0.25">
      <c r="A1550" s="84"/>
      <c r="B1550" s="84"/>
      <c r="C1550" s="84"/>
      <c r="D1550" s="84"/>
      <c r="F1550" s="792" t="s">
        <v>247</v>
      </c>
      <c r="G1550" s="793" t="s">
        <v>4745</v>
      </c>
      <c r="H1550" s="763">
        <f>SUM(H1521)</f>
        <v>0</v>
      </c>
      <c r="I1550" s="763">
        <f t="shared" ref="I1550:Q1550" si="291">SUM(I1521)</f>
        <v>0</v>
      </c>
      <c r="K1550" s="763">
        <f t="shared" si="291"/>
        <v>0</v>
      </c>
      <c r="L1550" s="889">
        <f>L1521+L1540</f>
        <v>470000</v>
      </c>
      <c r="M1550" s="889">
        <f>M1521+M1540</f>
        <v>278103.02</v>
      </c>
      <c r="N1550" s="890">
        <f t="shared" si="291"/>
        <v>0.59170855319148941</v>
      </c>
      <c r="O1550" s="889">
        <f>O1521+O1540</f>
        <v>191896.97999999998</v>
      </c>
      <c r="P1550" s="889">
        <f>P1521+P1540</f>
        <v>470000</v>
      </c>
      <c r="Q1550" s="889">
        <f t="shared" si="291"/>
        <v>278103.02</v>
      </c>
      <c r="R1550" s="890">
        <f>Q1550/P1550</f>
        <v>0.59170855319148941</v>
      </c>
      <c r="S1550" s="918">
        <f>S1521+S1540</f>
        <v>191896.97999999998</v>
      </c>
      <c r="T1550" s="84"/>
      <c r="V1550" s="84"/>
      <c r="W1550" s="84"/>
      <c r="X1550" s="1030"/>
      <c r="Y1550" s="1031"/>
      <c r="Z1550" s="1032"/>
      <c r="AA1550" s="1033"/>
      <c r="AB1550" s="84">
        <f t="shared" si="283"/>
        <v>0</v>
      </c>
    </row>
    <row r="1551" spans="1:28" ht="30" hidden="1" x14ac:dyDescent="0.25">
      <c r="A1551" s="84"/>
      <c r="B1551" s="84"/>
      <c r="C1551" s="84"/>
      <c r="D1551" s="84"/>
      <c r="F1551" s="792" t="s">
        <v>248</v>
      </c>
      <c r="G1551" s="793" t="s">
        <v>4744</v>
      </c>
      <c r="L1551" s="889"/>
      <c r="M1551" s="889"/>
      <c r="N1551" s="890"/>
      <c r="O1551" s="889"/>
      <c r="P1551" s="889"/>
      <c r="Q1551" s="889"/>
      <c r="R1551" s="890"/>
      <c r="S1551" s="918">
        <f t="shared" si="289"/>
        <v>0</v>
      </c>
      <c r="T1551" s="84"/>
      <c r="V1551" s="84"/>
      <c r="W1551" s="84"/>
      <c r="X1551" s="1030"/>
      <c r="Y1551" s="1031"/>
      <c r="Z1551" s="1032"/>
      <c r="AA1551" s="1033"/>
      <c r="AB1551" s="84">
        <f t="shared" si="283"/>
        <v>0</v>
      </c>
    </row>
    <row r="1552" spans="1:28" hidden="1" x14ac:dyDescent="0.25">
      <c r="A1552" s="84"/>
      <c r="B1552" s="84"/>
      <c r="C1552" s="84"/>
      <c r="D1552" s="84"/>
      <c r="F1552" s="792" t="s">
        <v>249</v>
      </c>
      <c r="G1552" s="793" t="s">
        <v>58</v>
      </c>
      <c r="L1552" s="889"/>
      <c r="M1552" s="889"/>
      <c r="N1552" s="890"/>
      <c r="O1552" s="889"/>
      <c r="P1552" s="889"/>
      <c r="Q1552" s="889"/>
      <c r="R1552" s="890"/>
      <c r="S1552" s="918">
        <f t="shared" si="289"/>
        <v>0</v>
      </c>
      <c r="T1552" s="84"/>
      <c r="V1552" s="84"/>
      <c r="W1552" s="84"/>
      <c r="X1552" s="1030"/>
      <c r="Y1552" s="1031"/>
      <c r="Z1552" s="1032"/>
      <c r="AA1552" s="1033"/>
      <c r="AB1552" s="84">
        <f t="shared" si="283"/>
        <v>0</v>
      </c>
    </row>
    <row r="1553" spans="1:28" hidden="1" x14ac:dyDescent="0.25">
      <c r="A1553" s="84"/>
      <c r="B1553" s="84"/>
      <c r="C1553" s="84"/>
      <c r="D1553" s="84"/>
      <c r="F1553" s="792" t="s">
        <v>250</v>
      </c>
      <c r="G1553" s="793" t="s">
        <v>251</v>
      </c>
      <c r="L1553" s="889"/>
      <c r="M1553" s="889"/>
      <c r="N1553" s="890"/>
      <c r="O1553" s="889"/>
      <c r="P1553" s="889"/>
      <c r="Q1553" s="889"/>
      <c r="R1553" s="890"/>
      <c r="S1553" s="918">
        <f t="shared" si="289"/>
        <v>0</v>
      </c>
      <c r="T1553" s="84"/>
      <c r="V1553" s="84"/>
      <c r="W1553" s="84"/>
      <c r="X1553" s="1030"/>
      <c r="Y1553" s="1031"/>
      <c r="Z1553" s="1032"/>
      <c r="AA1553" s="1033"/>
      <c r="AB1553" s="84">
        <f t="shared" si="283"/>
        <v>0</v>
      </c>
    </row>
    <row r="1554" spans="1:28" hidden="1" x14ac:dyDescent="0.25">
      <c r="A1554" s="84"/>
      <c r="B1554" s="84"/>
      <c r="C1554" s="84"/>
      <c r="D1554" s="84"/>
      <c r="F1554" s="792" t="s">
        <v>252</v>
      </c>
      <c r="G1554" s="793" t="s">
        <v>253</v>
      </c>
      <c r="L1554" s="889"/>
      <c r="M1554" s="889"/>
      <c r="N1554" s="890"/>
      <c r="O1554" s="889"/>
      <c r="P1554" s="889"/>
      <c r="Q1554" s="889"/>
      <c r="R1554" s="890"/>
      <c r="S1554" s="918">
        <f t="shared" si="289"/>
        <v>0</v>
      </c>
      <c r="T1554" s="84"/>
      <c r="V1554" s="84"/>
      <c r="W1554" s="84"/>
      <c r="X1554" s="1030"/>
      <c r="Y1554" s="1031"/>
      <c r="Z1554" s="1032"/>
      <c r="AA1554" s="1033"/>
      <c r="AB1554" s="84">
        <f t="shared" si="283"/>
        <v>0</v>
      </c>
    </row>
    <row r="1555" spans="1:28" ht="30" hidden="1" x14ac:dyDescent="0.25">
      <c r="A1555" s="84"/>
      <c r="B1555" s="84"/>
      <c r="C1555" s="84"/>
      <c r="D1555" s="84"/>
      <c r="F1555" s="792" t="s">
        <v>254</v>
      </c>
      <c r="G1555" s="793" t="s">
        <v>255</v>
      </c>
      <c r="L1555" s="889"/>
      <c r="M1555" s="889"/>
      <c r="N1555" s="890"/>
      <c r="O1555" s="889"/>
      <c r="P1555" s="889"/>
      <c r="Q1555" s="889"/>
      <c r="R1555" s="890"/>
      <c r="S1555" s="918">
        <f t="shared" si="289"/>
        <v>0</v>
      </c>
      <c r="T1555" s="84"/>
      <c r="V1555" s="84"/>
      <c r="W1555" s="84"/>
      <c r="X1555" s="1030"/>
      <c r="Y1555" s="1031"/>
      <c r="Z1555" s="1032"/>
      <c r="AA1555" s="1033"/>
      <c r="AB1555" s="84">
        <f t="shared" si="283"/>
        <v>0</v>
      </c>
    </row>
    <row r="1556" spans="1:28" ht="15.75" thickBot="1" x14ac:dyDescent="0.3">
      <c r="A1556" s="84"/>
      <c r="B1556" s="84"/>
      <c r="C1556" s="84"/>
      <c r="D1556" s="84"/>
      <c r="F1556" s="792" t="s">
        <v>256</v>
      </c>
      <c r="G1556" s="793" t="s">
        <v>257</v>
      </c>
      <c r="H1556" s="763">
        <v>0</v>
      </c>
      <c r="I1556" s="763">
        <v>0</v>
      </c>
      <c r="K1556" s="763">
        <v>0</v>
      </c>
      <c r="L1556" s="889">
        <f>L1428</f>
        <v>299599.40000000002</v>
      </c>
      <c r="M1556" s="889">
        <f>M1428</f>
        <v>139453.26999999999</v>
      </c>
      <c r="N1556" s="890">
        <f t="shared" ref="N1556:S1556" si="292">N1428</f>
        <v>0.46546578531198651</v>
      </c>
      <c r="O1556" s="889">
        <f t="shared" si="292"/>
        <v>160146.13000000003</v>
      </c>
      <c r="P1556" s="889">
        <f t="shared" si="292"/>
        <v>299599.40000000002</v>
      </c>
      <c r="Q1556" s="889">
        <f t="shared" si="292"/>
        <v>139453.26999999999</v>
      </c>
      <c r="R1556" s="890">
        <f t="shared" si="292"/>
        <v>0.46546578531198651</v>
      </c>
      <c r="S1556" s="918">
        <f t="shared" si="292"/>
        <v>160146.13000000003</v>
      </c>
      <c r="T1556" s="84"/>
      <c r="V1556" s="84"/>
      <c r="W1556" s="84"/>
      <c r="X1556" s="1030"/>
      <c r="Y1556" s="1031"/>
      <c r="Z1556" s="1032"/>
      <c r="AA1556" s="1033"/>
      <c r="AB1556" s="84">
        <f t="shared" si="283"/>
        <v>0</v>
      </c>
    </row>
    <row r="1557" spans="1:28" ht="30.75" hidden="1" thickBot="1" x14ac:dyDescent="0.3">
      <c r="A1557" s="84"/>
      <c r="B1557" s="84"/>
      <c r="C1557" s="84"/>
      <c r="D1557" s="84"/>
      <c r="F1557" s="792" t="s">
        <v>258</v>
      </c>
      <c r="G1557" s="793" t="s">
        <v>259</v>
      </c>
      <c r="L1557" s="889"/>
      <c r="M1557" s="889"/>
      <c r="N1557" s="890"/>
      <c r="O1557" s="889"/>
      <c r="P1557" s="889"/>
      <c r="Q1557" s="889"/>
      <c r="R1557" s="890"/>
      <c r="S1557" s="918">
        <f t="shared" si="289"/>
        <v>0</v>
      </c>
      <c r="T1557" s="84"/>
      <c r="V1557" s="84"/>
      <c r="W1557" s="84"/>
      <c r="X1557" s="1030"/>
      <c r="Y1557" s="1031"/>
      <c r="Z1557" s="1032"/>
      <c r="AA1557" s="1033"/>
      <c r="AB1557" s="84">
        <f t="shared" si="283"/>
        <v>0</v>
      </c>
    </row>
    <row r="1558" spans="1:28" ht="30.75" hidden="1" thickBot="1" x14ac:dyDescent="0.3">
      <c r="A1558" s="84"/>
      <c r="B1558" s="84"/>
      <c r="C1558" s="84"/>
      <c r="D1558" s="84"/>
      <c r="F1558" s="792" t="s">
        <v>260</v>
      </c>
      <c r="G1558" s="793" t="s">
        <v>261</v>
      </c>
      <c r="L1558" s="889"/>
      <c r="M1558" s="889"/>
      <c r="N1558" s="890"/>
      <c r="O1558" s="889"/>
      <c r="P1558" s="889"/>
      <c r="Q1558" s="889"/>
      <c r="R1558" s="890"/>
      <c r="S1558" s="918">
        <f t="shared" si="289"/>
        <v>0</v>
      </c>
      <c r="T1558" s="84"/>
      <c r="V1558" s="84"/>
      <c r="W1558" s="84"/>
      <c r="X1558" s="1030"/>
      <c r="Y1558" s="1031"/>
      <c r="Z1558" s="1032"/>
      <c r="AA1558" s="1033"/>
      <c r="AB1558" s="84">
        <f t="shared" si="283"/>
        <v>0</v>
      </c>
    </row>
    <row r="1559" spans="1:28" ht="15.75" hidden="1" thickBot="1" x14ac:dyDescent="0.3">
      <c r="A1559" s="84"/>
      <c r="B1559" s="84"/>
      <c r="C1559" s="84"/>
      <c r="D1559" s="84"/>
      <c r="F1559" s="792" t="s">
        <v>262</v>
      </c>
      <c r="G1559" s="793" t="s">
        <v>263</v>
      </c>
      <c r="H1559" s="794"/>
      <c r="I1559" s="794"/>
      <c r="J1559" s="795"/>
      <c r="K1559" s="794"/>
      <c r="L1559" s="918"/>
      <c r="M1559" s="918"/>
      <c r="N1559" s="919"/>
      <c r="O1559" s="918"/>
      <c r="P1559" s="918"/>
      <c r="Q1559" s="918"/>
      <c r="R1559" s="919"/>
      <c r="S1559" s="918">
        <f t="shared" si="289"/>
        <v>0</v>
      </c>
      <c r="T1559" s="84"/>
      <c r="V1559" s="84"/>
      <c r="W1559" s="84"/>
      <c r="X1559" s="1030"/>
      <c r="Y1559" s="1031"/>
      <c r="Z1559" s="1032"/>
      <c r="AA1559" s="1033"/>
      <c r="AB1559" s="84">
        <f t="shared" si="283"/>
        <v>0</v>
      </c>
    </row>
    <row r="1560" spans="1:28" ht="15.75" thickBot="1" x14ac:dyDescent="0.3">
      <c r="A1560" s="84"/>
      <c r="B1560" s="84"/>
      <c r="C1560" s="84"/>
      <c r="D1560" s="84"/>
      <c r="G1560" s="798" t="s">
        <v>4183</v>
      </c>
      <c r="H1560" s="799">
        <f>SUM(H1544:H1550)</f>
        <v>12589604</v>
      </c>
      <c r="I1560" s="799">
        <f t="shared" ref="I1560:N1560" si="293">SUM(I1544:I1550)</f>
        <v>7679242.1400000006</v>
      </c>
      <c r="J1560" s="800">
        <f>I1560/H1560</f>
        <v>0.60996693303458949</v>
      </c>
      <c r="K1560" s="799">
        <f t="shared" si="293"/>
        <v>4910361.8599999994</v>
      </c>
      <c r="L1560" s="923">
        <f>SUM(L1544:L1556)</f>
        <v>1596599.4</v>
      </c>
      <c r="M1560" s="923">
        <f>SUM(M1544:M1556)</f>
        <v>509910.75</v>
      </c>
      <c r="N1560" s="924">
        <f t="shared" si="293"/>
        <v>0.70338262816125963</v>
      </c>
      <c r="O1560" s="923">
        <f>SUM(O1544:O1556)</f>
        <v>1086688.6500000001</v>
      </c>
      <c r="P1560" s="923">
        <f>SUM(P1544:P1556)</f>
        <v>14186203.4</v>
      </c>
      <c r="Q1560" s="923">
        <f>SUM(Q1544:Q1556)</f>
        <v>8189152.8900000006</v>
      </c>
      <c r="R1560" s="924">
        <f>Q1560/P1560</f>
        <v>0.57726177040433524</v>
      </c>
      <c r="S1560" s="923">
        <f>SUM(S1544:S1556)</f>
        <v>5997050.5099999988</v>
      </c>
      <c r="T1560" s="84"/>
      <c r="V1560" s="84"/>
      <c r="W1560" s="84"/>
      <c r="X1560" s="1030"/>
      <c r="Y1560" s="1031"/>
      <c r="Z1560" s="1032"/>
      <c r="AA1560" s="1033"/>
      <c r="AB1560" s="84">
        <f t="shared" si="283"/>
        <v>0</v>
      </c>
    </row>
    <row r="1561" spans="1:28" x14ac:dyDescent="0.25">
      <c r="A1561" s="84"/>
      <c r="B1561" s="84"/>
      <c r="C1561" s="84"/>
      <c r="D1561" s="84"/>
      <c r="L1561" s="889"/>
      <c r="M1561" s="889"/>
      <c r="N1561" s="890"/>
      <c r="O1561" s="889"/>
      <c r="P1561" s="889"/>
      <c r="Q1561" s="889"/>
      <c r="R1561" s="890"/>
      <c r="S1561" s="889"/>
      <c r="T1561" s="84"/>
      <c r="V1561" s="84"/>
      <c r="W1561" s="84"/>
      <c r="X1561" s="1030"/>
      <c r="Y1561" s="1031"/>
      <c r="Z1561" s="1032"/>
      <c r="AA1561" s="1033"/>
      <c r="AB1561" s="84">
        <f t="shared" si="283"/>
        <v>0</v>
      </c>
    </row>
    <row r="1562" spans="1:28" x14ac:dyDescent="0.25">
      <c r="A1562" s="84"/>
      <c r="B1562" s="84"/>
      <c r="C1562" s="84"/>
      <c r="D1562" s="84"/>
      <c r="E1562" s="784"/>
      <c r="F1562" s="785"/>
      <c r="G1562" s="821" t="s">
        <v>4775</v>
      </c>
      <c r="H1562" s="822"/>
      <c r="I1562" s="822"/>
      <c r="J1562" s="823"/>
      <c r="K1562" s="822"/>
      <c r="L1562" s="891"/>
      <c r="M1562" s="891"/>
      <c r="N1562" s="980"/>
      <c r="O1562" s="891"/>
      <c r="P1562" s="891"/>
      <c r="Q1562" s="891"/>
      <c r="R1562" s="980"/>
      <c r="S1562" s="978"/>
      <c r="T1562" s="84"/>
      <c r="V1562" s="84"/>
      <c r="W1562" s="84"/>
      <c r="X1562" s="1030"/>
      <c r="Y1562" s="1031"/>
      <c r="Z1562" s="1032"/>
      <c r="AA1562" s="1033"/>
      <c r="AB1562" s="84">
        <f t="shared" si="283"/>
        <v>0</v>
      </c>
    </row>
    <row r="1563" spans="1:28" x14ac:dyDescent="0.25">
      <c r="A1563" s="84"/>
      <c r="B1563" s="84"/>
      <c r="C1563" s="84"/>
      <c r="D1563" s="84"/>
      <c r="E1563" s="791"/>
      <c r="F1563" s="792" t="s">
        <v>235</v>
      </c>
      <c r="G1563" s="793" t="s">
        <v>236</v>
      </c>
      <c r="H1563" s="794">
        <f>SUM(H1544)</f>
        <v>12589604</v>
      </c>
      <c r="I1563" s="794">
        <f>SUM(I1544)</f>
        <v>7679242.1400000006</v>
      </c>
      <c r="J1563" s="795">
        <f t="shared" ref="J1563:S1563" si="294">SUM(J1544)</f>
        <v>0.60996693303458949</v>
      </c>
      <c r="K1563" s="794">
        <f t="shared" si="294"/>
        <v>4910361.8599999994</v>
      </c>
      <c r="L1563" s="918">
        <f t="shared" si="294"/>
        <v>0</v>
      </c>
      <c r="M1563" s="918">
        <f t="shared" si="294"/>
        <v>0</v>
      </c>
      <c r="N1563" s="919"/>
      <c r="O1563" s="918">
        <f t="shared" si="294"/>
        <v>0</v>
      </c>
      <c r="P1563" s="918">
        <f t="shared" si="294"/>
        <v>12589604</v>
      </c>
      <c r="Q1563" s="918">
        <f>SUM(Q1544)</f>
        <v>7679242.1400000006</v>
      </c>
      <c r="R1563" s="919">
        <f t="shared" si="294"/>
        <v>0.60996693303458949</v>
      </c>
      <c r="S1563" s="918">
        <f t="shared" si="294"/>
        <v>4910361.8599999994</v>
      </c>
      <c r="T1563" s="84"/>
      <c r="V1563" s="84"/>
      <c r="W1563" s="84"/>
      <c r="X1563" s="1030"/>
      <c r="Y1563" s="1031"/>
      <c r="Z1563" s="1032"/>
      <c r="AA1563" s="1033"/>
      <c r="AB1563" s="84">
        <f t="shared" si="283"/>
        <v>0</v>
      </c>
    </row>
    <row r="1564" spans="1:28" hidden="1" x14ac:dyDescent="0.25">
      <c r="A1564" s="84"/>
      <c r="B1564" s="84"/>
      <c r="C1564" s="84"/>
      <c r="D1564" s="84"/>
      <c r="F1564" s="792" t="s">
        <v>237</v>
      </c>
      <c r="G1564" s="793" t="s">
        <v>238</v>
      </c>
      <c r="L1564" s="889"/>
      <c r="M1564" s="889"/>
      <c r="N1564" s="890"/>
      <c r="O1564" s="889"/>
      <c r="P1564" s="889"/>
      <c r="Q1564" s="889"/>
      <c r="R1564" s="890"/>
      <c r="S1564" s="918">
        <f t="shared" ref="S1564:S1578" si="295">SUM(H1564:L1564)</f>
        <v>0</v>
      </c>
      <c r="T1564" s="84"/>
      <c r="V1564" s="84"/>
      <c r="W1564" s="84"/>
      <c r="X1564" s="1030"/>
      <c r="Y1564" s="1031"/>
      <c r="Z1564" s="1032"/>
      <c r="AA1564" s="1033"/>
      <c r="AB1564" s="84">
        <f t="shared" si="283"/>
        <v>0</v>
      </c>
    </row>
    <row r="1565" spans="1:28" hidden="1" x14ac:dyDescent="0.25">
      <c r="A1565" s="84"/>
      <c r="B1565" s="84"/>
      <c r="C1565" s="84"/>
      <c r="D1565" s="84"/>
      <c r="F1565" s="792" t="s">
        <v>239</v>
      </c>
      <c r="G1565" s="793" t="s">
        <v>240</v>
      </c>
      <c r="L1565" s="889"/>
      <c r="M1565" s="889"/>
      <c r="N1565" s="890"/>
      <c r="O1565" s="889"/>
      <c r="P1565" s="889"/>
      <c r="Q1565" s="889"/>
      <c r="R1565" s="890"/>
      <c r="S1565" s="918">
        <f t="shared" si="295"/>
        <v>0</v>
      </c>
      <c r="T1565" s="84"/>
      <c r="V1565" s="84"/>
      <c r="W1565" s="84"/>
      <c r="X1565" s="1030"/>
      <c r="Y1565" s="1031"/>
      <c r="Z1565" s="1032"/>
      <c r="AA1565" s="1033"/>
      <c r="AB1565" s="84">
        <f t="shared" si="283"/>
        <v>0</v>
      </c>
    </row>
    <row r="1566" spans="1:28" x14ac:dyDescent="0.25">
      <c r="A1566" s="84"/>
      <c r="B1566" s="84"/>
      <c r="C1566" s="84"/>
      <c r="D1566" s="84"/>
      <c r="F1566" s="792" t="s">
        <v>241</v>
      </c>
      <c r="G1566" s="793" t="s">
        <v>242</v>
      </c>
      <c r="H1566" s="763">
        <f>SUM(H1547)</f>
        <v>0</v>
      </c>
      <c r="I1566" s="763">
        <f t="shared" ref="I1566:S1566" si="296">SUM(I1547)</f>
        <v>0</v>
      </c>
      <c r="K1566" s="763">
        <f t="shared" si="296"/>
        <v>0</v>
      </c>
      <c r="L1566" s="889">
        <f>SUM(L1547)</f>
        <v>827000</v>
      </c>
      <c r="M1566" s="889">
        <f>M1547</f>
        <v>92354.46</v>
      </c>
      <c r="N1566" s="890">
        <f t="shared" si="296"/>
        <v>0.11167407496977026</v>
      </c>
      <c r="O1566" s="889">
        <f t="shared" si="296"/>
        <v>734645.54</v>
      </c>
      <c r="P1566" s="889">
        <f t="shared" si="296"/>
        <v>827000</v>
      </c>
      <c r="Q1566" s="889">
        <f t="shared" si="296"/>
        <v>92354.46</v>
      </c>
      <c r="R1566" s="890">
        <f t="shared" si="296"/>
        <v>0.11167407496977026</v>
      </c>
      <c r="S1566" s="918">
        <f t="shared" si="296"/>
        <v>734645.54</v>
      </c>
      <c r="T1566" s="84"/>
      <c r="V1566" s="84"/>
      <c r="W1566" s="84"/>
      <c r="X1566" s="1030"/>
      <c r="Y1566" s="1031"/>
      <c r="Z1566" s="1032"/>
      <c r="AA1566" s="1033"/>
      <c r="AB1566" s="84">
        <f t="shared" si="283"/>
        <v>0</v>
      </c>
    </row>
    <row r="1567" spans="1:28" hidden="1" x14ac:dyDescent="0.25">
      <c r="A1567" s="84"/>
      <c r="B1567" s="84"/>
      <c r="C1567" s="84"/>
      <c r="D1567" s="84"/>
      <c r="F1567" s="792" t="s">
        <v>243</v>
      </c>
      <c r="G1567" s="793" t="s">
        <v>244</v>
      </c>
      <c r="L1567" s="889"/>
      <c r="M1567" s="889"/>
      <c r="N1567" s="890"/>
      <c r="O1567" s="889"/>
      <c r="P1567" s="889"/>
      <c r="Q1567" s="889"/>
      <c r="R1567" s="890"/>
      <c r="S1567" s="918">
        <f t="shared" si="295"/>
        <v>0</v>
      </c>
      <c r="T1567" s="84"/>
      <c r="V1567" s="84"/>
      <c r="W1567" s="84"/>
      <c r="X1567" s="1030"/>
      <c r="Y1567" s="1031"/>
      <c r="Z1567" s="1032"/>
      <c r="AA1567" s="1033"/>
      <c r="AB1567" s="84">
        <f t="shared" si="283"/>
        <v>0</v>
      </c>
    </row>
    <row r="1568" spans="1:28" hidden="1" x14ac:dyDescent="0.25">
      <c r="A1568" s="84"/>
      <c r="B1568" s="84"/>
      <c r="C1568" s="84"/>
      <c r="D1568" s="84"/>
      <c r="F1568" s="792" t="s">
        <v>245</v>
      </c>
      <c r="G1568" s="793" t="s">
        <v>246</v>
      </c>
      <c r="L1568" s="889"/>
      <c r="M1568" s="889"/>
      <c r="N1568" s="890"/>
      <c r="O1568" s="889"/>
      <c r="P1568" s="889"/>
      <c r="Q1568" s="889"/>
      <c r="R1568" s="890"/>
      <c r="S1568" s="918">
        <f t="shared" si="295"/>
        <v>0</v>
      </c>
      <c r="T1568" s="84"/>
      <c r="V1568" s="84"/>
      <c r="W1568" s="84"/>
      <c r="X1568" s="1030"/>
      <c r="Y1568" s="1031"/>
      <c r="Z1568" s="1032"/>
      <c r="AA1568" s="1033"/>
      <c r="AB1568" s="84">
        <f t="shared" si="283"/>
        <v>0</v>
      </c>
    </row>
    <row r="1569" spans="1:28" x14ac:dyDescent="0.25">
      <c r="A1569" s="84"/>
      <c r="B1569" s="84"/>
      <c r="C1569" s="84"/>
      <c r="D1569" s="84"/>
      <c r="F1569" s="792" t="s">
        <v>247</v>
      </c>
      <c r="G1569" s="793" t="s">
        <v>4745</v>
      </c>
      <c r="H1569" s="763">
        <f>SUM(H1550)</f>
        <v>0</v>
      </c>
      <c r="I1569" s="763">
        <f t="shared" ref="I1569:S1569" si="297">SUM(I1550)</f>
        <v>0</v>
      </c>
      <c r="K1569" s="763">
        <f t="shared" si="297"/>
        <v>0</v>
      </c>
      <c r="L1569" s="889">
        <f>SUM(L1550)</f>
        <v>470000</v>
      </c>
      <c r="M1569" s="889">
        <f>SUM(M1550)</f>
        <v>278103.02</v>
      </c>
      <c r="N1569" s="890">
        <f t="shared" si="297"/>
        <v>0.59170855319148941</v>
      </c>
      <c r="O1569" s="889">
        <f t="shared" si="297"/>
        <v>191896.97999999998</v>
      </c>
      <c r="P1569" s="889">
        <f t="shared" si="297"/>
        <v>470000</v>
      </c>
      <c r="Q1569" s="889">
        <f t="shared" si="297"/>
        <v>278103.02</v>
      </c>
      <c r="R1569" s="890">
        <f t="shared" si="297"/>
        <v>0.59170855319148941</v>
      </c>
      <c r="S1569" s="918">
        <f t="shared" si="297"/>
        <v>191896.97999999998</v>
      </c>
      <c r="T1569" s="84"/>
      <c r="V1569" s="84"/>
      <c r="W1569" s="84"/>
      <c r="X1569" s="1030"/>
      <c r="Y1569" s="1031"/>
      <c r="Z1569" s="1032"/>
      <c r="AA1569" s="1033"/>
      <c r="AB1569" s="84">
        <f t="shared" si="283"/>
        <v>0</v>
      </c>
    </row>
    <row r="1570" spans="1:28" ht="30" hidden="1" x14ac:dyDescent="0.25">
      <c r="A1570" s="84"/>
      <c r="B1570" s="84"/>
      <c r="C1570" s="84"/>
      <c r="D1570" s="84"/>
      <c r="F1570" s="792" t="s">
        <v>248</v>
      </c>
      <c r="G1570" s="793" t="s">
        <v>4744</v>
      </c>
      <c r="L1570" s="889"/>
      <c r="M1570" s="889"/>
      <c r="N1570" s="890"/>
      <c r="O1570" s="889"/>
      <c r="P1570" s="889"/>
      <c r="Q1570" s="889"/>
      <c r="R1570" s="890"/>
      <c r="S1570" s="918">
        <f t="shared" si="295"/>
        <v>0</v>
      </c>
      <c r="T1570" s="84"/>
      <c r="V1570" s="84"/>
      <c r="W1570" s="84"/>
      <c r="X1570" s="1030"/>
      <c r="Y1570" s="1031"/>
      <c r="Z1570" s="1032"/>
      <c r="AA1570" s="1033"/>
      <c r="AB1570" s="84">
        <f t="shared" si="283"/>
        <v>0</v>
      </c>
    </row>
    <row r="1571" spans="1:28" hidden="1" x14ac:dyDescent="0.25">
      <c r="F1571" s="792" t="s">
        <v>249</v>
      </c>
      <c r="G1571" s="793" t="s">
        <v>58</v>
      </c>
      <c r="L1571" s="889"/>
      <c r="M1571" s="889"/>
      <c r="N1571" s="890"/>
      <c r="O1571" s="889"/>
      <c r="P1571" s="889"/>
      <c r="Q1571" s="889"/>
      <c r="R1571" s="890"/>
      <c r="S1571" s="918">
        <f t="shared" si="295"/>
        <v>0</v>
      </c>
      <c r="T1571" s="84"/>
      <c r="V1571" s="84"/>
      <c r="W1571" s="84"/>
      <c r="X1571" s="1030"/>
      <c r="Y1571" s="1031"/>
      <c r="Z1571" s="1032"/>
      <c r="AA1571" s="1033"/>
      <c r="AB1571" s="84">
        <f t="shared" si="283"/>
        <v>0</v>
      </c>
    </row>
    <row r="1572" spans="1:28" hidden="1" x14ac:dyDescent="0.25">
      <c r="F1572" s="792" t="s">
        <v>250</v>
      </c>
      <c r="G1572" s="793" t="s">
        <v>251</v>
      </c>
      <c r="L1572" s="889"/>
      <c r="M1572" s="889"/>
      <c r="N1572" s="890"/>
      <c r="O1572" s="889"/>
      <c r="P1572" s="889"/>
      <c r="Q1572" s="889"/>
      <c r="R1572" s="890"/>
      <c r="S1572" s="918">
        <f t="shared" si="295"/>
        <v>0</v>
      </c>
      <c r="T1572" s="84"/>
      <c r="V1572" s="84"/>
      <c r="W1572" s="84"/>
      <c r="X1572" s="1030"/>
      <c r="Y1572" s="1031"/>
      <c r="Z1572" s="1032"/>
      <c r="AA1572" s="1033"/>
      <c r="AB1572" s="84">
        <f t="shared" si="283"/>
        <v>0</v>
      </c>
    </row>
    <row r="1573" spans="1:28" hidden="1" x14ac:dyDescent="0.25">
      <c r="F1573" s="792" t="s">
        <v>252</v>
      </c>
      <c r="G1573" s="793" t="s">
        <v>253</v>
      </c>
      <c r="L1573" s="889"/>
      <c r="M1573" s="889"/>
      <c r="N1573" s="890"/>
      <c r="O1573" s="889"/>
      <c r="P1573" s="889"/>
      <c r="Q1573" s="889"/>
      <c r="R1573" s="890"/>
      <c r="S1573" s="918">
        <f t="shared" si="295"/>
        <v>0</v>
      </c>
      <c r="T1573" s="84"/>
      <c r="V1573" s="84"/>
      <c r="W1573" s="84"/>
      <c r="X1573" s="1030"/>
      <c r="Y1573" s="1031"/>
      <c r="Z1573" s="1032"/>
      <c r="AA1573" s="1033"/>
      <c r="AB1573" s="84">
        <f t="shared" si="283"/>
        <v>0</v>
      </c>
    </row>
    <row r="1574" spans="1:28" ht="30" hidden="1" x14ac:dyDescent="0.25">
      <c r="F1574" s="792" t="s">
        <v>254</v>
      </c>
      <c r="G1574" s="793" t="s">
        <v>255</v>
      </c>
      <c r="L1574" s="889"/>
      <c r="M1574" s="889"/>
      <c r="N1574" s="890"/>
      <c r="O1574" s="889"/>
      <c r="P1574" s="889"/>
      <c r="Q1574" s="889"/>
      <c r="R1574" s="890"/>
      <c r="S1574" s="918">
        <f t="shared" si="295"/>
        <v>0</v>
      </c>
      <c r="T1574" s="84"/>
      <c r="AB1574" s="84">
        <f t="shared" si="283"/>
        <v>0</v>
      </c>
    </row>
    <row r="1575" spans="1:28" ht="15.75" thickBot="1" x14ac:dyDescent="0.3">
      <c r="F1575" s="792" t="s">
        <v>256</v>
      </c>
      <c r="G1575" s="793" t="s">
        <v>257</v>
      </c>
      <c r="H1575" s="763">
        <v>0</v>
      </c>
      <c r="I1575" s="763">
        <v>0</v>
      </c>
      <c r="K1575" s="763">
        <v>0</v>
      </c>
      <c r="L1575" s="889">
        <f>L1556</f>
        <v>299599.40000000002</v>
      </c>
      <c r="M1575" s="889">
        <f>M1556</f>
        <v>139453.26999999999</v>
      </c>
      <c r="N1575" s="890">
        <f t="shared" ref="N1575:S1575" si="298">N1556</f>
        <v>0.46546578531198651</v>
      </c>
      <c r="O1575" s="889">
        <f t="shared" si="298"/>
        <v>160146.13000000003</v>
      </c>
      <c r="P1575" s="889">
        <f t="shared" si="298"/>
        <v>299599.40000000002</v>
      </c>
      <c r="Q1575" s="889">
        <f t="shared" si="298"/>
        <v>139453.26999999999</v>
      </c>
      <c r="R1575" s="890">
        <f t="shared" si="298"/>
        <v>0.46546578531198651</v>
      </c>
      <c r="S1575" s="918">
        <f t="shared" si="298"/>
        <v>160146.13000000003</v>
      </c>
      <c r="T1575" s="84"/>
      <c r="AB1575" s="84">
        <f t="shared" si="283"/>
        <v>0</v>
      </c>
    </row>
    <row r="1576" spans="1:28" ht="30.75" hidden="1" thickBot="1" x14ac:dyDescent="0.3">
      <c r="F1576" s="792" t="s">
        <v>258</v>
      </c>
      <c r="G1576" s="793" t="s">
        <v>259</v>
      </c>
      <c r="L1576" s="889"/>
      <c r="M1576" s="889"/>
      <c r="N1576" s="890"/>
      <c r="O1576" s="889"/>
      <c r="P1576" s="889"/>
      <c r="Q1576" s="889"/>
      <c r="R1576" s="890"/>
      <c r="S1576" s="918">
        <f t="shared" si="295"/>
        <v>0</v>
      </c>
      <c r="T1576" s="84"/>
      <c r="AB1576" s="84">
        <f t="shared" si="283"/>
        <v>0</v>
      </c>
    </row>
    <row r="1577" spans="1:28" ht="30.75" hidden="1" thickBot="1" x14ac:dyDescent="0.3">
      <c r="F1577" s="792" t="s">
        <v>260</v>
      </c>
      <c r="G1577" s="793" t="s">
        <v>261</v>
      </c>
      <c r="L1577" s="889"/>
      <c r="M1577" s="889"/>
      <c r="N1577" s="890"/>
      <c r="O1577" s="889"/>
      <c r="P1577" s="889"/>
      <c r="Q1577" s="889"/>
      <c r="R1577" s="890"/>
      <c r="S1577" s="918">
        <f t="shared" si="295"/>
        <v>0</v>
      </c>
      <c r="T1577" s="84"/>
      <c r="AB1577" s="84">
        <f t="shared" si="283"/>
        <v>0</v>
      </c>
    </row>
    <row r="1578" spans="1:28" ht="15.75" hidden="1" thickBot="1" x14ac:dyDescent="0.3">
      <c r="F1578" s="792" t="s">
        <v>262</v>
      </c>
      <c r="G1578" s="793" t="s">
        <v>263</v>
      </c>
      <c r="H1578" s="794"/>
      <c r="I1578" s="794"/>
      <c r="J1578" s="795"/>
      <c r="K1578" s="794"/>
      <c r="L1578" s="918"/>
      <c r="M1578" s="918"/>
      <c r="N1578" s="919"/>
      <c r="O1578" s="918"/>
      <c r="P1578" s="918"/>
      <c r="Q1578" s="918"/>
      <c r="R1578" s="919"/>
      <c r="S1578" s="918">
        <f t="shared" si="295"/>
        <v>0</v>
      </c>
      <c r="T1578" s="84"/>
      <c r="AB1578" s="84">
        <f t="shared" si="283"/>
        <v>0</v>
      </c>
    </row>
    <row r="1579" spans="1:28" ht="15.75" thickBot="1" x14ac:dyDescent="0.3">
      <c r="G1579" s="798" t="s">
        <v>4776</v>
      </c>
      <c r="H1579" s="799">
        <f>SUM(H1563:H1569)</f>
        <v>12589604</v>
      </c>
      <c r="I1579" s="799">
        <f t="shared" ref="I1579:O1579" si="299">SUM(I1563:I1569)</f>
        <v>7679242.1400000006</v>
      </c>
      <c r="J1579" s="800">
        <f>I1579/H1579</f>
        <v>0.60996693303458949</v>
      </c>
      <c r="K1579" s="799">
        <f t="shared" si="299"/>
        <v>4910361.8599999994</v>
      </c>
      <c r="L1579" s="923">
        <f>SUM(L1563:L1575)</f>
        <v>1596599.4</v>
      </c>
      <c r="M1579" s="923">
        <f>SUM(M1563:M1575)</f>
        <v>509910.75</v>
      </c>
      <c r="N1579" s="924">
        <f>M1579/L1579</f>
        <v>0.31937300615295233</v>
      </c>
      <c r="O1579" s="923">
        <f t="shared" si="299"/>
        <v>926542.52</v>
      </c>
      <c r="P1579" s="923">
        <f>SUM(P1563:P1575)</f>
        <v>14186203.4</v>
      </c>
      <c r="Q1579" s="923">
        <f>SUM(Q1563:Q1575)</f>
        <v>8189152.8900000006</v>
      </c>
      <c r="R1579" s="924">
        <f>Q1579/P1579</f>
        <v>0.57726177040433524</v>
      </c>
      <c r="S1579" s="923">
        <f>SUM(S1563:S1575)</f>
        <v>5997050.5099999988</v>
      </c>
      <c r="T1579" s="84"/>
      <c r="AB1579" s="84">
        <f t="shared" si="283"/>
        <v>0</v>
      </c>
    </row>
    <row r="1580" spans="1:28" x14ac:dyDescent="0.25">
      <c r="L1580" s="889"/>
      <c r="M1580" s="889"/>
      <c r="N1580" s="890"/>
      <c r="O1580" s="889"/>
      <c r="P1580" s="889"/>
      <c r="Q1580" s="889"/>
      <c r="R1580" s="890"/>
      <c r="S1580" s="889"/>
      <c r="T1580" s="84"/>
      <c r="AB1580" s="84">
        <f t="shared" si="283"/>
        <v>0</v>
      </c>
    </row>
    <row r="1581" spans="1:28" ht="28.5" x14ac:dyDescent="0.25">
      <c r="A1581" s="859"/>
      <c r="B1581" s="860" t="s">
        <v>5010</v>
      </c>
      <c r="C1581" s="861"/>
      <c r="D1581" s="862"/>
      <c r="E1581" s="863"/>
      <c r="F1581" s="862"/>
      <c r="G1581" s="1034" t="s">
        <v>4784</v>
      </c>
      <c r="H1581" s="865"/>
      <c r="I1581" s="865"/>
      <c r="J1581" s="866"/>
      <c r="K1581" s="865"/>
      <c r="L1581" s="867"/>
      <c r="M1581" s="867"/>
      <c r="N1581" s="868"/>
      <c r="O1581" s="867"/>
      <c r="P1581" s="867"/>
      <c r="Q1581" s="867"/>
      <c r="R1581" s="868"/>
      <c r="S1581" s="867"/>
      <c r="T1581" s="84"/>
      <c r="AB1581" s="84">
        <f t="shared" si="283"/>
        <v>0</v>
      </c>
    </row>
    <row r="1582" spans="1:28" ht="29.25" customHeight="1" x14ac:dyDescent="0.25">
      <c r="C1582" s="761" t="s">
        <v>3582</v>
      </c>
      <c r="G1582" s="984" t="s">
        <v>4184</v>
      </c>
      <c r="T1582" s="84"/>
      <c r="AB1582" s="84">
        <f t="shared" si="283"/>
        <v>0</v>
      </c>
    </row>
    <row r="1583" spans="1:28" ht="28.5" x14ac:dyDescent="0.25">
      <c r="C1583" s="761" t="s">
        <v>4185</v>
      </c>
      <c r="D1583" s="770"/>
      <c r="G1583" s="984" t="s">
        <v>5412</v>
      </c>
      <c r="T1583" s="84"/>
      <c r="AB1583" s="84">
        <f t="shared" si="283"/>
        <v>0</v>
      </c>
    </row>
    <row r="1584" spans="1:28" x14ac:dyDescent="0.25">
      <c r="C1584" s="761"/>
      <c r="D1584" s="778">
        <v>911</v>
      </c>
      <c r="E1584" s="779"/>
      <c r="F1584" s="778"/>
      <c r="G1584" s="780" t="s">
        <v>215</v>
      </c>
      <c r="T1584" s="84"/>
      <c r="AB1584" s="84">
        <f t="shared" si="283"/>
        <v>0</v>
      </c>
    </row>
    <row r="1585" spans="5:31" x14ac:dyDescent="0.25">
      <c r="E1585" s="760" t="s">
        <v>5270</v>
      </c>
      <c r="F1585" s="1035">
        <v>411</v>
      </c>
      <c r="G1585" s="1036" t="s">
        <v>4114</v>
      </c>
      <c r="H1585" s="763">
        <f>24823250+507415</f>
        <v>25330665</v>
      </c>
      <c r="I1585" s="763">
        <f>18715526.65+2100965.81</f>
        <v>20816492.459999997</v>
      </c>
      <c r="J1585" s="764">
        <f t="shared" ref="J1585:J1630" si="300">I1585/H1585</f>
        <v>0.82179020803441194</v>
      </c>
      <c r="K1585" s="763">
        <f t="shared" ref="K1585:K1621" si="301">H1585-I1585</f>
        <v>4514172.5400000028</v>
      </c>
      <c r="L1585" s="889">
        <v>9005742</v>
      </c>
      <c r="M1585" s="889">
        <f>6771235.09+771297.24</f>
        <v>7542532.3300000001</v>
      </c>
      <c r="N1585" s="890">
        <f>M1585/L1585</f>
        <v>0.83752480695094311</v>
      </c>
      <c r="O1585" s="889">
        <f>L1585-M1585</f>
        <v>1463209.67</v>
      </c>
      <c r="P1585" s="889">
        <f>L1585+H1585</f>
        <v>34336407</v>
      </c>
      <c r="Q1585" s="1037">
        <f>M1585+I1585</f>
        <v>28359024.789999999</v>
      </c>
      <c r="R1585" s="1038">
        <f>Q1585/P1585</f>
        <v>0.82591707367634593</v>
      </c>
      <c r="S1585" s="1037">
        <f t="shared" ref="S1585:S1621" si="302">P1585-Q1585</f>
        <v>5977382.2100000009</v>
      </c>
      <c r="T1585" s="84"/>
      <c r="Z1585" s="830">
        <f t="shared" ref="Z1585:Z1631" si="303">H1585-X1585+Y1585</f>
        <v>25330665</v>
      </c>
      <c r="AA1585" s="831">
        <v>23199299.48</v>
      </c>
      <c r="AB1585" s="84">
        <f t="shared" si="283"/>
        <v>2131365.5199999996</v>
      </c>
      <c r="AE1585" s="84">
        <f t="shared" ref="AE1585:AE1631" si="304">H1585-AA1585</f>
        <v>2131365.5199999996</v>
      </c>
    </row>
    <row r="1586" spans="5:31" x14ac:dyDescent="0.25">
      <c r="E1586" s="760" t="s">
        <v>5271</v>
      </c>
      <c r="F1586" s="1035">
        <v>412</v>
      </c>
      <c r="G1586" s="1036" t="s">
        <v>3768</v>
      </c>
      <c r="H1586" s="763">
        <f>4443362+90827</f>
        <v>4534189</v>
      </c>
      <c r="I1586" s="763">
        <f>3347224.05+372970.86</f>
        <v>3720194.9099999997</v>
      </c>
      <c r="J1586" s="764">
        <f t="shared" si="300"/>
        <v>0.82047636523312095</v>
      </c>
      <c r="K1586" s="763">
        <f t="shared" si="301"/>
        <v>813994.09000000032</v>
      </c>
      <c r="L1586" s="889">
        <f>1082422+464539+67652</f>
        <v>1614613</v>
      </c>
      <c r="M1586" s="889">
        <f>1213995.51+138082.76</f>
        <v>1352078.27</v>
      </c>
      <c r="N1586" s="890">
        <f>M1586/L1586</f>
        <v>0.83740083227373996</v>
      </c>
      <c r="O1586" s="889">
        <f t="shared" ref="O1586:O1621" si="305">L1586-M1586</f>
        <v>262534.73</v>
      </c>
      <c r="P1586" s="889">
        <f t="shared" ref="P1586:P1621" si="306">L1586+H1586</f>
        <v>6148802</v>
      </c>
      <c r="Q1586" s="1037">
        <f>M1586+I1586</f>
        <v>5072273.18</v>
      </c>
      <c r="R1586" s="1038">
        <f t="shared" ref="R1586:R1621" si="307">Q1586/P1586</f>
        <v>0.82492055850879564</v>
      </c>
      <c r="S1586" s="1037">
        <f t="shared" si="302"/>
        <v>1076528.8200000003</v>
      </c>
      <c r="T1586" s="84"/>
      <c r="Z1586" s="830">
        <f t="shared" si="303"/>
        <v>4534189</v>
      </c>
      <c r="AA1586" s="831">
        <v>4152674.89</v>
      </c>
      <c r="AB1586" s="84">
        <f t="shared" si="283"/>
        <v>381514.10999999987</v>
      </c>
      <c r="AE1586" s="84">
        <f t="shared" si="304"/>
        <v>381514.10999999987</v>
      </c>
    </row>
    <row r="1587" spans="5:31" hidden="1" x14ac:dyDescent="0.25">
      <c r="F1587" s="1035">
        <v>413</v>
      </c>
      <c r="G1587" s="1036" t="s">
        <v>4115</v>
      </c>
      <c r="I1587" s="763">
        <v>0</v>
      </c>
      <c r="J1587" s="764" t="e">
        <f t="shared" si="300"/>
        <v>#DIV/0!</v>
      </c>
      <c r="K1587" s="763">
        <f t="shared" si="301"/>
        <v>0</v>
      </c>
      <c r="L1587" s="889">
        <v>0</v>
      </c>
      <c r="M1587" s="889">
        <v>0</v>
      </c>
      <c r="N1587" s="890" t="e">
        <f t="shared" ref="N1587:N1619" si="308">M1587/L1587</f>
        <v>#DIV/0!</v>
      </c>
      <c r="O1587" s="889">
        <f t="shared" si="305"/>
        <v>0</v>
      </c>
      <c r="P1587" s="889">
        <f t="shared" si="306"/>
        <v>0</v>
      </c>
      <c r="Q1587" s="1037">
        <f t="shared" ref="Q1587:Q1621" si="309">M1587+I1587</f>
        <v>0</v>
      </c>
      <c r="R1587" s="1038" t="e">
        <f t="shared" si="307"/>
        <v>#DIV/0!</v>
      </c>
      <c r="S1587" s="1037">
        <f t="shared" si="302"/>
        <v>0</v>
      </c>
      <c r="AA1587" s="831">
        <v>0</v>
      </c>
      <c r="AB1587" s="84">
        <f t="shared" si="283"/>
        <v>0</v>
      </c>
      <c r="AE1587" s="84">
        <f t="shared" si="304"/>
        <v>0</v>
      </c>
    </row>
    <row r="1588" spans="5:31" x14ac:dyDescent="0.25">
      <c r="E1588" s="760" t="s">
        <v>5272</v>
      </c>
      <c r="F1588" s="1035">
        <v>414</v>
      </c>
      <c r="G1588" s="1036" t="s">
        <v>3771</v>
      </c>
      <c r="H1588" s="763">
        <v>15000</v>
      </c>
      <c r="I1588" s="763">
        <v>0</v>
      </c>
      <c r="J1588" s="764">
        <f t="shared" si="300"/>
        <v>0</v>
      </c>
      <c r="K1588" s="763">
        <f t="shared" si="301"/>
        <v>15000</v>
      </c>
      <c r="L1588" s="889">
        <v>0</v>
      </c>
      <c r="M1588" s="1037">
        <v>15000</v>
      </c>
      <c r="N1588" s="890"/>
      <c r="O1588" s="889">
        <f t="shared" si="305"/>
        <v>-15000</v>
      </c>
      <c r="P1588" s="889">
        <f t="shared" si="306"/>
        <v>15000</v>
      </c>
      <c r="Q1588" s="1037">
        <f t="shared" si="309"/>
        <v>15000</v>
      </c>
      <c r="R1588" s="1038">
        <f t="shared" si="307"/>
        <v>1</v>
      </c>
      <c r="S1588" s="1037">
        <f t="shared" si="302"/>
        <v>0</v>
      </c>
      <c r="Z1588" s="830">
        <f t="shared" si="303"/>
        <v>15000</v>
      </c>
      <c r="AA1588" s="831">
        <v>35000</v>
      </c>
      <c r="AB1588" s="84">
        <f t="shared" si="283"/>
        <v>-20000</v>
      </c>
      <c r="AE1588" s="84">
        <f t="shared" si="304"/>
        <v>-20000</v>
      </c>
    </row>
    <row r="1589" spans="5:31" x14ac:dyDescent="0.25">
      <c r="E1589" s="760" t="s">
        <v>5273</v>
      </c>
      <c r="F1589" s="1035">
        <v>415</v>
      </c>
      <c r="G1589" s="1036" t="s">
        <v>4124</v>
      </c>
      <c r="H1589" s="763">
        <v>2305910</v>
      </c>
      <c r="I1589" s="763">
        <f>1723127.65+222266.5</f>
        <v>1945394.15</v>
      </c>
      <c r="J1589" s="764">
        <f t="shared" si="300"/>
        <v>0.84365571509729342</v>
      </c>
      <c r="K1589" s="763">
        <f t="shared" si="301"/>
        <v>360515.85000000009</v>
      </c>
      <c r="L1589" s="1037">
        <v>0</v>
      </c>
      <c r="M1589" s="1037">
        <v>0</v>
      </c>
      <c r="N1589" s="1038"/>
      <c r="O1589" s="1037">
        <f t="shared" si="305"/>
        <v>0</v>
      </c>
      <c r="P1589" s="1037">
        <f t="shared" si="306"/>
        <v>2305910</v>
      </c>
      <c r="Q1589" s="1037">
        <f t="shared" si="309"/>
        <v>1945394.15</v>
      </c>
      <c r="R1589" s="1038">
        <f t="shared" si="307"/>
        <v>0.84365571509729342</v>
      </c>
      <c r="S1589" s="1037">
        <f t="shared" si="302"/>
        <v>360515.85000000009</v>
      </c>
      <c r="Y1589" s="834">
        <v>375000</v>
      </c>
      <c r="Z1589" s="830">
        <f t="shared" si="303"/>
        <v>2680910</v>
      </c>
      <c r="AA1589" s="831">
        <v>1800000</v>
      </c>
      <c r="AB1589" s="84">
        <f t="shared" si="283"/>
        <v>880910</v>
      </c>
      <c r="AE1589" s="84">
        <f t="shared" si="304"/>
        <v>505910</v>
      </c>
    </row>
    <row r="1590" spans="5:31" x14ac:dyDescent="0.25">
      <c r="E1590" s="760" t="s">
        <v>3887</v>
      </c>
      <c r="F1590" s="1035">
        <v>416</v>
      </c>
      <c r="G1590" s="1036" t="s">
        <v>4125</v>
      </c>
      <c r="H1590" s="763">
        <v>300000</v>
      </c>
      <c r="I1590" s="763">
        <v>627432.43000000005</v>
      </c>
      <c r="J1590" s="764">
        <f t="shared" si="300"/>
        <v>2.0914414333333333</v>
      </c>
      <c r="K1590" s="763">
        <f t="shared" si="301"/>
        <v>-327432.43000000005</v>
      </c>
      <c r="L1590" s="1037">
        <v>0</v>
      </c>
      <c r="M1590" s="1037">
        <v>0</v>
      </c>
      <c r="N1590" s="1038"/>
      <c r="O1590" s="1037">
        <f t="shared" si="305"/>
        <v>0</v>
      </c>
      <c r="P1590" s="1037">
        <f t="shared" si="306"/>
        <v>300000</v>
      </c>
      <c r="Q1590" s="1037">
        <f t="shared" si="309"/>
        <v>627432.43000000005</v>
      </c>
      <c r="R1590" s="1038">
        <f t="shared" si="307"/>
        <v>2.0914414333333333</v>
      </c>
      <c r="S1590" s="1037">
        <f t="shared" si="302"/>
        <v>-327432.43000000005</v>
      </c>
      <c r="Y1590" s="834">
        <v>50000</v>
      </c>
      <c r="Z1590" s="830">
        <f t="shared" si="303"/>
        <v>350000</v>
      </c>
      <c r="AA1590" s="831">
        <v>658000</v>
      </c>
      <c r="AB1590" s="84">
        <f t="shared" si="283"/>
        <v>-308000</v>
      </c>
      <c r="AE1590" s="84">
        <f t="shared" si="304"/>
        <v>-358000</v>
      </c>
    </row>
    <row r="1591" spans="5:31" hidden="1" x14ac:dyDescent="0.25">
      <c r="F1591" s="1035">
        <v>417</v>
      </c>
      <c r="G1591" s="1036" t="s">
        <v>4126</v>
      </c>
      <c r="I1591" s="763">
        <v>0</v>
      </c>
      <c r="J1591" s="764" t="e">
        <f t="shared" si="300"/>
        <v>#DIV/0!</v>
      </c>
      <c r="K1591" s="763">
        <f t="shared" si="301"/>
        <v>0</v>
      </c>
      <c r="L1591" s="1037">
        <v>0</v>
      </c>
      <c r="M1591" s="1037">
        <v>0</v>
      </c>
      <c r="N1591" s="1038" t="e">
        <f t="shared" si="308"/>
        <v>#DIV/0!</v>
      </c>
      <c r="O1591" s="1037">
        <f t="shared" si="305"/>
        <v>0</v>
      </c>
      <c r="P1591" s="1037">
        <f t="shared" si="306"/>
        <v>0</v>
      </c>
      <c r="Q1591" s="1037">
        <f t="shared" si="309"/>
        <v>0</v>
      </c>
      <c r="R1591" s="1038" t="e">
        <f t="shared" si="307"/>
        <v>#DIV/0!</v>
      </c>
      <c r="S1591" s="1037">
        <f t="shared" si="302"/>
        <v>0</v>
      </c>
      <c r="AA1591" s="831">
        <v>0</v>
      </c>
      <c r="AB1591" s="84">
        <f t="shared" si="283"/>
        <v>0</v>
      </c>
      <c r="AE1591" s="84">
        <f t="shared" si="304"/>
        <v>0</v>
      </c>
    </row>
    <row r="1592" spans="5:31" hidden="1" x14ac:dyDescent="0.25">
      <c r="F1592" s="1035">
        <v>418</v>
      </c>
      <c r="G1592" s="1036" t="s">
        <v>3777</v>
      </c>
      <c r="I1592" s="763">
        <v>0</v>
      </c>
      <c r="J1592" s="764" t="e">
        <f t="shared" si="300"/>
        <v>#DIV/0!</v>
      </c>
      <c r="K1592" s="763">
        <f t="shared" si="301"/>
        <v>0</v>
      </c>
      <c r="L1592" s="1037">
        <v>0</v>
      </c>
      <c r="M1592" s="1037">
        <v>0</v>
      </c>
      <c r="N1592" s="1038" t="e">
        <f t="shared" si="308"/>
        <v>#DIV/0!</v>
      </c>
      <c r="O1592" s="1037">
        <f t="shared" si="305"/>
        <v>0</v>
      </c>
      <c r="P1592" s="1037">
        <f t="shared" si="306"/>
        <v>0</v>
      </c>
      <c r="Q1592" s="1037">
        <f t="shared" si="309"/>
        <v>0</v>
      </c>
      <c r="R1592" s="1038" t="e">
        <f t="shared" si="307"/>
        <v>#DIV/0!</v>
      </c>
      <c r="S1592" s="1037">
        <f t="shared" si="302"/>
        <v>0</v>
      </c>
      <c r="AA1592" s="831">
        <v>0</v>
      </c>
      <c r="AB1592" s="84">
        <f t="shared" si="283"/>
        <v>0</v>
      </c>
      <c r="AE1592" s="84">
        <f t="shared" si="304"/>
        <v>0</v>
      </c>
    </row>
    <row r="1593" spans="5:31" x14ac:dyDescent="0.25">
      <c r="E1593" s="760" t="s">
        <v>3889</v>
      </c>
      <c r="F1593" s="1035">
        <v>421</v>
      </c>
      <c r="G1593" s="1036" t="s">
        <v>3781</v>
      </c>
      <c r="H1593" s="763">
        <f>3257000-150000</f>
        <v>3107000</v>
      </c>
      <c r="I1593" s="763">
        <f>2501191.67+314411.01</f>
        <v>2815602.6799999997</v>
      </c>
      <c r="J1593" s="764">
        <f t="shared" si="300"/>
        <v>0.90621264242034105</v>
      </c>
      <c r="K1593" s="763">
        <f t="shared" si="301"/>
        <v>291397.3200000003</v>
      </c>
      <c r="L1593" s="1037">
        <v>7000</v>
      </c>
      <c r="M1593" s="1037">
        <v>180150.15999999997</v>
      </c>
      <c r="N1593" s="1038">
        <f t="shared" si="308"/>
        <v>25.73573714285714</v>
      </c>
      <c r="O1593" s="1037">
        <f t="shared" si="305"/>
        <v>-173150.15999999997</v>
      </c>
      <c r="P1593" s="1037">
        <f t="shared" si="306"/>
        <v>3114000</v>
      </c>
      <c r="Q1593" s="1037">
        <f t="shared" si="309"/>
        <v>2995752.84</v>
      </c>
      <c r="R1593" s="1038">
        <f t="shared" si="307"/>
        <v>0.9620272447013487</v>
      </c>
      <c r="S1593" s="1037">
        <f t="shared" si="302"/>
        <v>118247.16000000015</v>
      </c>
      <c r="Y1593" s="834">
        <v>185000</v>
      </c>
      <c r="Z1593" s="830">
        <f t="shared" si="303"/>
        <v>3292000</v>
      </c>
      <c r="AA1593" s="831">
        <v>3234311.16</v>
      </c>
      <c r="AB1593" s="84">
        <f t="shared" si="283"/>
        <v>57688.839999999851</v>
      </c>
      <c r="AE1593" s="84">
        <f t="shared" si="304"/>
        <v>-127311.16000000015</v>
      </c>
    </row>
    <row r="1594" spans="5:31" x14ac:dyDescent="0.25">
      <c r="E1594" s="760" t="s">
        <v>3890</v>
      </c>
      <c r="F1594" s="1035">
        <v>422</v>
      </c>
      <c r="G1594" s="1036" t="s">
        <v>3782</v>
      </c>
      <c r="H1594" s="763">
        <v>280000</v>
      </c>
      <c r="I1594" s="763">
        <f>109848-18424</f>
        <v>91424</v>
      </c>
      <c r="J1594" s="764">
        <f t="shared" si="300"/>
        <v>0.3265142857142857</v>
      </c>
      <c r="K1594" s="763">
        <f t="shared" si="301"/>
        <v>188576</v>
      </c>
      <c r="L1594" s="1037">
        <v>220000</v>
      </c>
      <c r="M1594" s="1037">
        <v>281369</v>
      </c>
      <c r="N1594" s="1038">
        <f t="shared" si="308"/>
        <v>1.27895</v>
      </c>
      <c r="O1594" s="1037">
        <f t="shared" si="305"/>
        <v>-61369</v>
      </c>
      <c r="P1594" s="1037">
        <f t="shared" si="306"/>
        <v>500000</v>
      </c>
      <c r="Q1594" s="1037">
        <f t="shared" si="309"/>
        <v>372793</v>
      </c>
      <c r="R1594" s="1038">
        <f t="shared" si="307"/>
        <v>0.74558599999999997</v>
      </c>
      <c r="S1594" s="1037">
        <f t="shared" si="302"/>
        <v>127207</v>
      </c>
      <c r="Z1594" s="830">
        <f t="shared" si="303"/>
        <v>280000</v>
      </c>
      <c r="AA1594" s="831">
        <v>105000</v>
      </c>
      <c r="AB1594" s="84">
        <f t="shared" si="283"/>
        <v>175000</v>
      </c>
      <c r="AE1594" s="84">
        <f t="shared" si="304"/>
        <v>175000</v>
      </c>
    </row>
    <row r="1595" spans="5:31" x14ac:dyDescent="0.25">
      <c r="E1595" s="760" t="s">
        <v>5274</v>
      </c>
      <c r="F1595" s="1035">
        <v>423</v>
      </c>
      <c r="G1595" s="1036" t="s">
        <v>3783</v>
      </c>
      <c r="H1595" s="763">
        <v>2550000</v>
      </c>
      <c r="I1595" s="763">
        <f>2040670.13-92120</f>
        <v>1948550.13</v>
      </c>
      <c r="J1595" s="764">
        <f t="shared" si="300"/>
        <v>0.76413730588235285</v>
      </c>
      <c r="K1595" s="763">
        <f t="shared" si="301"/>
        <v>601449.87000000011</v>
      </c>
      <c r="L1595" s="1037">
        <f>1000000+17788.73</f>
        <v>1017788.73</v>
      </c>
      <c r="M1595" s="1037">
        <v>841913.34000000008</v>
      </c>
      <c r="N1595" s="1038">
        <f t="shared" si="308"/>
        <v>0.82719852871626909</v>
      </c>
      <c r="O1595" s="1037">
        <f t="shared" si="305"/>
        <v>175875.3899999999</v>
      </c>
      <c r="P1595" s="1037">
        <f t="shared" si="306"/>
        <v>3567788.73</v>
      </c>
      <c r="Q1595" s="1037">
        <f t="shared" si="309"/>
        <v>2790463.4699999997</v>
      </c>
      <c r="R1595" s="1038">
        <f t="shared" si="307"/>
        <v>0.78212688059026403</v>
      </c>
      <c r="S1595" s="1037">
        <f t="shared" si="302"/>
        <v>777325.26000000024</v>
      </c>
      <c r="Y1595" s="834">
        <v>590000</v>
      </c>
      <c r="Z1595" s="830">
        <f t="shared" si="303"/>
        <v>3140000</v>
      </c>
      <c r="AA1595" s="831">
        <v>1711000</v>
      </c>
      <c r="AB1595" s="84">
        <f t="shared" si="283"/>
        <v>1429000</v>
      </c>
      <c r="AE1595" s="84">
        <f t="shared" si="304"/>
        <v>839000</v>
      </c>
    </row>
    <row r="1596" spans="5:31" x14ac:dyDescent="0.25">
      <c r="E1596" s="760" t="s">
        <v>5275</v>
      </c>
      <c r="F1596" s="1035">
        <v>424</v>
      </c>
      <c r="G1596" s="1036" t="s">
        <v>3785</v>
      </c>
      <c r="H1596" s="763">
        <v>300000</v>
      </c>
      <c r="I1596" s="763">
        <f>243533.89+10800</f>
        <v>254333.89</v>
      </c>
      <c r="J1596" s="764">
        <f t="shared" si="300"/>
        <v>0.84777963333333339</v>
      </c>
      <c r="K1596" s="763">
        <f t="shared" si="301"/>
        <v>45666.109999999986</v>
      </c>
      <c r="L1596" s="1037">
        <v>0</v>
      </c>
      <c r="M1596" s="1037">
        <v>0</v>
      </c>
      <c r="N1596" s="1038"/>
      <c r="O1596" s="1037">
        <f t="shared" si="305"/>
        <v>0</v>
      </c>
      <c r="P1596" s="1037">
        <f t="shared" si="306"/>
        <v>300000</v>
      </c>
      <c r="Q1596" s="1037">
        <f t="shared" si="309"/>
        <v>254333.89</v>
      </c>
      <c r="R1596" s="1038">
        <f t="shared" si="307"/>
        <v>0.84777963333333339</v>
      </c>
      <c r="S1596" s="1037">
        <f t="shared" si="302"/>
        <v>45666.109999999986</v>
      </c>
      <c r="Z1596" s="830">
        <f t="shared" si="303"/>
        <v>300000</v>
      </c>
      <c r="AA1596" s="831">
        <v>238000</v>
      </c>
      <c r="AB1596" s="84">
        <f t="shared" si="283"/>
        <v>62000</v>
      </c>
      <c r="AE1596" s="84">
        <f t="shared" si="304"/>
        <v>62000</v>
      </c>
    </row>
    <row r="1597" spans="5:31" x14ac:dyDescent="0.25">
      <c r="E1597" s="760" t="s">
        <v>5173</v>
      </c>
      <c r="F1597" s="1035">
        <v>425</v>
      </c>
      <c r="G1597" s="1036" t="s">
        <v>4127</v>
      </c>
      <c r="H1597" s="763">
        <v>270000</v>
      </c>
      <c r="I1597" s="763">
        <v>205363.6</v>
      </c>
      <c r="J1597" s="764">
        <f t="shared" si="300"/>
        <v>0.76060592592592591</v>
      </c>
      <c r="K1597" s="763">
        <f t="shared" si="301"/>
        <v>64636.399999999994</v>
      </c>
      <c r="L1597" s="1037">
        <v>0</v>
      </c>
      <c r="M1597" s="1037">
        <v>0</v>
      </c>
      <c r="N1597" s="1038"/>
      <c r="O1597" s="1037">
        <f t="shared" si="305"/>
        <v>0</v>
      </c>
      <c r="P1597" s="1037">
        <f t="shared" si="306"/>
        <v>270000</v>
      </c>
      <c r="Q1597" s="1037">
        <f t="shared" si="309"/>
        <v>205363.6</v>
      </c>
      <c r="R1597" s="1038">
        <f t="shared" si="307"/>
        <v>0.76060592592592591</v>
      </c>
      <c r="S1597" s="1037">
        <f t="shared" si="302"/>
        <v>64636.399999999994</v>
      </c>
      <c r="Z1597" s="830">
        <f t="shared" si="303"/>
        <v>270000</v>
      </c>
      <c r="AA1597" s="831">
        <v>385000</v>
      </c>
      <c r="AB1597" s="84">
        <f t="shared" si="283"/>
        <v>-115000</v>
      </c>
      <c r="AE1597" s="84">
        <f t="shared" si="304"/>
        <v>-115000</v>
      </c>
    </row>
    <row r="1598" spans="5:31" x14ac:dyDescent="0.25">
      <c r="E1598" s="760" t="s">
        <v>5174</v>
      </c>
      <c r="F1598" s="1035">
        <v>426</v>
      </c>
      <c r="G1598" s="1036" t="s">
        <v>3789</v>
      </c>
      <c r="H1598" s="763">
        <f>5180000+76884-40-300000</f>
        <v>4956844</v>
      </c>
      <c r="I1598" s="763">
        <f>3878302.34-235568+277610.49</f>
        <v>3920344.83</v>
      </c>
      <c r="J1598" s="764">
        <f t="shared" si="300"/>
        <v>0.79089534187478971</v>
      </c>
      <c r="K1598" s="763">
        <f t="shared" si="301"/>
        <v>1036499.1699999999</v>
      </c>
      <c r="L1598" s="1037">
        <v>100000</v>
      </c>
      <c r="M1598" s="1037">
        <v>91367.670000000013</v>
      </c>
      <c r="N1598" s="1038">
        <f>M1598/L1598</f>
        <v>0.91367670000000012</v>
      </c>
      <c r="O1598" s="1037">
        <f t="shared" si="305"/>
        <v>8632.3299999999872</v>
      </c>
      <c r="P1598" s="1037">
        <f t="shared" si="306"/>
        <v>5056844</v>
      </c>
      <c r="Q1598" s="1037">
        <f t="shared" si="309"/>
        <v>4011712.5</v>
      </c>
      <c r="R1598" s="1038">
        <f t="shared" si="307"/>
        <v>0.79332336532430103</v>
      </c>
      <c r="S1598" s="1037">
        <f t="shared" si="302"/>
        <v>1045131.5</v>
      </c>
      <c r="Z1598" s="830">
        <f t="shared" si="303"/>
        <v>4956844</v>
      </c>
      <c r="AA1598" s="831">
        <v>4161680</v>
      </c>
      <c r="AB1598" s="84">
        <f t="shared" si="283"/>
        <v>795164</v>
      </c>
      <c r="AE1598" s="84">
        <f t="shared" si="304"/>
        <v>795164</v>
      </c>
    </row>
    <row r="1599" spans="5:31" hidden="1" x14ac:dyDescent="0.25">
      <c r="F1599" s="1035">
        <v>432</v>
      </c>
      <c r="G1599" s="1036" t="s">
        <v>4129</v>
      </c>
      <c r="I1599" s="763">
        <v>0</v>
      </c>
      <c r="J1599" s="764" t="e">
        <f t="shared" si="300"/>
        <v>#DIV/0!</v>
      </c>
      <c r="K1599" s="763">
        <f t="shared" si="301"/>
        <v>0</v>
      </c>
      <c r="L1599" s="1037">
        <v>0</v>
      </c>
      <c r="M1599" s="1037">
        <v>0</v>
      </c>
      <c r="N1599" s="1038" t="e">
        <f t="shared" si="308"/>
        <v>#DIV/0!</v>
      </c>
      <c r="O1599" s="1037">
        <f t="shared" si="305"/>
        <v>0</v>
      </c>
      <c r="P1599" s="1037">
        <f t="shared" si="306"/>
        <v>0</v>
      </c>
      <c r="Q1599" s="1037">
        <f t="shared" si="309"/>
        <v>0</v>
      </c>
      <c r="R1599" s="1038" t="e">
        <f t="shared" si="307"/>
        <v>#DIV/0!</v>
      </c>
      <c r="S1599" s="1037">
        <f t="shared" si="302"/>
        <v>0</v>
      </c>
      <c r="AA1599" s="831">
        <v>0</v>
      </c>
      <c r="AB1599" s="84">
        <f t="shared" si="283"/>
        <v>0</v>
      </c>
      <c r="AE1599" s="84">
        <f t="shared" si="304"/>
        <v>0</v>
      </c>
    </row>
    <row r="1600" spans="5:31" hidden="1" x14ac:dyDescent="0.25">
      <c r="F1600" s="1035">
        <v>433</v>
      </c>
      <c r="G1600" s="1036" t="s">
        <v>4130</v>
      </c>
      <c r="I1600" s="763">
        <v>0</v>
      </c>
      <c r="J1600" s="764" t="e">
        <f t="shared" si="300"/>
        <v>#DIV/0!</v>
      </c>
      <c r="K1600" s="763">
        <f t="shared" si="301"/>
        <v>0</v>
      </c>
      <c r="L1600" s="1037">
        <v>0</v>
      </c>
      <c r="M1600" s="1037">
        <v>0</v>
      </c>
      <c r="N1600" s="1038" t="e">
        <f t="shared" si="308"/>
        <v>#DIV/0!</v>
      </c>
      <c r="O1600" s="1037">
        <f t="shared" si="305"/>
        <v>0</v>
      </c>
      <c r="P1600" s="1037">
        <f t="shared" si="306"/>
        <v>0</v>
      </c>
      <c r="Q1600" s="1037">
        <f t="shared" si="309"/>
        <v>0</v>
      </c>
      <c r="R1600" s="1038" t="e">
        <f t="shared" si="307"/>
        <v>#DIV/0!</v>
      </c>
      <c r="S1600" s="1037">
        <f t="shared" si="302"/>
        <v>0</v>
      </c>
      <c r="AA1600" s="831">
        <v>0</v>
      </c>
      <c r="AB1600" s="84">
        <f t="shared" si="283"/>
        <v>0</v>
      </c>
      <c r="AE1600" s="84">
        <f t="shared" si="304"/>
        <v>0</v>
      </c>
    </row>
    <row r="1601" spans="1:31" hidden="1" x14ac:dyDescent="0.25">
      <c r="F1601" s="1035">
        <v>434</v>
      </c>
      <c r="G1601" s="1036" t="s">
        <v>4131</v>
      </c>
      <c r="I1601" s="763">
        <v>0</v>
      </c>
      <c r="J1601" s="764" t="e">
        <f t="shared" si="300"/>
        <v>#DIV/0!</v>
      </c>
      <c r="K1601" s="763">
        <f t="shared" si="301"/>
        <v>0</v>
      </c>
      <c r="L1601" s="1037">
        <v>0</v>
      </c>
      <c r="M1601" s="1037">
        <v>0</v>
      </c>
      <c r="N1601" s="1038" t="e">
        <f t="shared" si="308"/>
        <v>#DIV/0!</v>
      </c>
      <c r="O1601" s="1037">
        <f t="shared" si="305"/>
        <v>0</v>
      </c>
      <c r="P1601" s="1037">
        <f t="shared" si="306"/>
        <v>0</v>
      </c>
      <c r="Q1601" s="1037">
        <f t="shared" si="309"/>
        <v>0</v>
      </c>
      <c r="R1601" s="1038" t="e">
        <f t="shared" si="307"/>
        <v>#DIV/0!</v>
      </c>
      <c r="S1601" s="1037">
        <f t="shared" si="302"/>
        <v>0</v>
      </c>
      <c r="AA1601" s="831">
        <v>0</v>
      </c>
      <c r="AB1601" s="84">
        <f t="shared" si="283"/>
        <v>0</v>
      </c>
      <c r="AE1601" s="84">
        <f t="shared" si="304"/>
        <v>0</v>
      </c>
    </row>
    <row r="1602" spans="1:31" hidden="1" x14ac:dyDescent="0.25">
      <c r="A1602" s="84"/>
      <c r="B1602" s="84"/>
      <c r="C1602" s="84"/>
      <c r="D1602" s="84"/>
      <c r="F1602" s="1035">
        <v>435</v>
      </c>
      <c r="G1602" s="1036" t="s">
        <v>3796</v>
      </c>
      <c r="I1602" s="763">
        <v>0</v>
      </c>
      <c r="J1602" s="764" t="e">
        <f t="shared" si="300"/>
        <v>#DIV/0!</v>
      </c>
      <c r="K1602" s="763">
        <f t="shared" si="301"/>
        <v>0</v>
      </c>
      <c r="L1602" s="1037">
        <v>0</v>
      </c>
      <c r="M1602" s="1037">
        <v>0</v>
      </c>
      <c r="N1602" s="1038" t="e">
        <f t="shared" si="308"/>
        <v>#DIV/0!</v>
      </c>
      <c r="O1602" s="1037">
        <f t="shared" si="305"/>
        <v>0</v>
      </c>
      <c r="P1602" s="1037">
        <f t="shared" si="306"/>
        <v>0</v>
      </c>
      <c r="Q1602" s="1037">
        <f t="shared" si="309"/>
        <v>0</v>
      </c>
      <c r="R1602" s="1038" t="e">
        <f t="shared" si="307"/>
        <v>#DIV/0!</v>
      </c>
      <c r="S1602" s="1037">
        <f t="shared" si="302"/>
        <v>0</v>
      </c>
      <c r="T1602" s="84"/>
      <c r="AA1602" s="831">
        <v>0</v>
      </c>
      <c r="AB1602" s="84">
        <f t="shared" si="283"/>
        <v>0</v>
      </c>
      <c r="AE1602" s="84">
        <f t="shared" si="304"/>
        <v>0</v>
      </c>
    </row>
    <row r="1603" spans="1:31" hidden="1" x14ac:dyDescent="0.25">
      <c r="A1603" s="84"/>
      <c r="B1603" s="84"/>
      <c r="C1603" s="84"/>
      <c r="D1603" s="84"/>
      <c r="F1603" s="1035">
        <v>441</v>
      </c>
      <c r="G1603" s="1036" t="s">
        <v>4132</v>
      </c>
      <c r="I1603" s="763">
        <v>0</v>
      </c>
      <c r="J1603" s="764" t="e">
        <f t="shared" si="300"/>
        <v>#DIV/0!</v>
      </c>
      <c r="K1603" s="763">
        <f t="shared" si="301"/>
        <v>0</v>
      </c>
      <c r="L1603" s="1037">
        <v>0</v>
      </c>
      <c r="M1603" s="1037">
        <v>0</v>
      </c>
      <c r="N1603" s="1038" t="e">
        <f t="shared" si="308"/>
        <v>#DIV/0!</v>
      </c>
      <c r="O1603" s="1037">
        <f t="shared" si="305"/>
        <v>0</v>
      </c>
      <c r="P1603" s="1037">
        <f t="shared" si="306"/>
        <v>0</v>
      </c>
      <c r="Q1603" s="1037">
        <f t="shared" si="309"/>
        <v>0</v>
      </c>
      <c r="R1603" s="1038" t="e">
        <f t="shared" si="307"/>
        <v>#DIV/0!</v>
      </c>
      <c r="S1603" s="1037">
        <f t="shared" si="302"/>
        <v>0</v>
      </c>
      <c r="T1603" s="84"/>
      <c r="AA1603" s="831">
        <v>0</v>
      </c>
      <c r="AB1603" s="84">
        <f t="shared" si="283"/>
        <v>0</v>
      </c>
      <c r="AE1603" s="84">
        <f t="shared" si="304"/>
        <v>0</v>
      </c>
    </row>
    <row r="1604" spans="1:31" hidden="1" x14ac:dyDescent="0.25">
      <c r="A1604" s="84"/>
      <c r="B1604" s="84"/>
      <c r="C1604" s="84"/>
      <c r="D1604" s="84"/>
      <c r="F1604" s="1035">
        <v>442</v>
      </c>
      <c r="G1604" s="1036" t="s">
        <v>4133</v>
      </c>
      <c r="I1604" s="763">
        <v>0</v>
      </c>
      <c r="J1604" s="764" t="e">
        <f t="shared" si="300"/>
        <v>#DIV/0!</v>
      </c>
      <c r="K1604" s="763">
        <f t="shared" si="301"/>
        <v>0</v>
      </c>
      <c r="L1604" s="1037">
        <v>0</v>
      </c>
      <c r="M1604" s="1037">
        <v>0</v>
      </c>
      <c r="N1604" s="1038" t="e">
        <f t="shared" si="308"/>
        <v>#DIV/0!</v>
      </c>
      <c r="O1604" s="1037">
        <f t="shared" si="305"/>
        <v>0</v>
      </c>
      <c r="P1604" s="1037">
        <f t="shared" si="306"/>
        <v>0</v>
      </c>
      <c r="Q1604" s="1037">
        <f t="shared" si="309"/>
        <v>0</v>
      </c>
      <c r="R1604" s="1038" t="e">
        <f t="shared" si="307"/>
        <v>#DIV/0!</v>
      </c>
      <c r="S1604" s="1037">
        <f t="shared" si="302"/>
        <v>0</v>
      </c>
      <c r="T1604" s="84"/>
      <c r="AA1604" s="831">
        <v>0</v>
      </c>
      <c r="AB1604" s="84">
        <f t="shared" si="283"/>
        <v>0</v>
      </c>
      <c r="AE1604" s="84">
        <f t="shared" si="304"/>
        <v>0</v>
      </c>
    </row>
    <row r="1605" spans="1:31" hidden="1" x14ac:dyDescent="0.25">
      <c r="A1605" s="84"/>
      <c r="B1605" s="84"/>
      <c r="C1605" s="84"/>
      <c r="D1605" s="84"/>
      <c r="F1605" s="1035">
        <v>443</v>
      </c>
      <c r="G1605" s="1036" t="s">
        <v>3801</v>
      </c>
      <c r="I1605" s="763">
        <v>0</v>
      </c>
      <c r="J1605" s="764" t="e">
        <f t="shared" si="300"/>
        <v>#DIV/0!</v>
      </c>
      <c r="K1605" s="763">
        <f t="shared" si="301"/>
        <v>0</v>
      </c>
      <c r="L1605" s="1037">
        <v>0</v>
      </c>
      <c r="M1605" s="1037">
        <v>0</v>
      </c>
      <c r="N1605" s="1038" t="e">
        <f t="shared" si="308"/>
        <v>#DIV/0!</v>
      </c>
      <c r="O1605" s="1037">
        <f t="shared" si="305"/>
        <v>0</v>
      </c>
      <c r="P1605" s="1037">
        <f t="shared" si="306"/>
        <v>0</v>
      </c>
      <c r="Q1605" s="1037">
        <f t="shared" si="309"/>
        <v>0</v>
      </c>
      <c r="R1605" s="1038" t="e">
        <f t="shared" si="307"/>
        <v>#DIV/0!</v>
      </c>
      <c r="S1605" s="1037">
        <f t="shared" si="302"/>
        <v>0</v>
      </c>
      <c r="T1605" s="84"/>
      <c r="AA1605" s="831">
        <v>0</v>
      </c>
      <c r="AB1605" s="84">
        <f t="shared" ref="AB1605:AB1668" si="310">Z1605-AA1605</f>
        <v>0</v>
      </c>
      <c r="AE1605" s="84">
        <f t="shared" si="304"/>
        <v>0</v>
      </c>
    </row>
    <row r="1606" spans="1:31" hidden="1" x14ac:dyDescent="0.25">
      <c r="A1606" s="84"/>
      <c r="B1606" s="84"/>
      <c r="C1606" s="84"/>
      <c r="D1606" s="84"/>
      <c r="F1606" s="1035">
        <v>444</v>
      </c>
      <c r="G1606" s="1036" t="s">
        <v>3802</v>
      </c>
      <c r="I1606" s="763">
        <v>0</v>
      </c>
      <c r="J1606" s="764" t="e">
        <f t="shared" si="300"/>
        <v>#DIV/0!</v>
      </c>
      <c r="K1606" s="763">
        <f t="shared" si="301"/>
        <v>0</v>
      </c>
      <c r="L1606" s="1037">
        <v>0</v>
      </c>
      <c r="M1606" s="1037">
        <v>0</v>
      </c>
      <c r="N1606" s="1038" t="e">
        <f t="shared" si="308"/>
        <v>#DIV/0!</v>
      </c>
      <c r="O1606" s="1037">
        <f t="shared" si="305"/>
        <v>0</v>
      </c>
      <c r="P1606" s="1037">
        <f t="shared" si="306"/>
        <v>0</v>
      </c>
      <c r="Q1606" s="1037">
        <f t="shared" si="309"/>
        <v>0</v>
      </c>
      <c r="R1606" s="1038" t="e">
        <f t="shared" si="307"/>
        <v>#DIV/0!</v>
      </c>
      <c r="S1606" s="1037">
        <f t="shared" si="302"/>
        <v>0</v>
      </c>
      <c r="T1606" s="84"/>
      <c r="AA1606" s="831">
        <v>0</v>
      </c>
      <c r="AB1606" s="84">
        <f t="shared" si="310"/>
        <v>0</v>
      </c>
      <c r="AE1606" s="84">
        <f t="shared" si="304"/>
        <v>0</v>
      </c>
    </row>
    <row r="1607" spans="1:31" ht="30" hidden="1" x14ac:dyDescent="0.25">
      <c r="A1607" s="84"/>
      <c r="B1607" s="84"/>
      <c r="C1607" s="84"/>
      <c r="D1607" s="84"/>
      <c r="F1607" s="1035">
        <v>4511</v>
      </c>
      <c r="G1607" s="874" t="s">
        <v>1691</v>
      </c>
      <c r="I1607" s="763">
        <v>0</v>
      </c>
      <c r="J1607" s="764" t="e">
        <f t="shared" si="300"/>
        <v>#DIV/0!</v>
      </c>
      <c r="K1607" s="763">
        <f t="shared" si="301"/>
        <v>0</v>
      </c>
      <c r="L1607" s="1037">
        <v>0</v>
      </c>
      <c r="M1607" s="1037">
        <v>0</v>
      </c>
      <c r="N1607" s="1038" t="e">
        <f t="shared" si="308"/>
        <v>#DIV/0!</v>
      </c>
      <c r="O1607" s="1037">
        <f t="shared" si="305"/>
        <v>0</v>
      </c>
      <c r="P1607" s="1037">
        <f t="shared" si="306"/>
        <v>0</v>
      </c>
      <c r="Q1607" s="1037">
        <f t="shared" si="309"/>
        <v>0</v>
      </c>
      <c r="R1607" s="1038" t="e">
        <f t="shared" si="307"/>
        <v>#DIV/0!</v>
      </c>
      <c r="S1607" s="1037">
        <f t="shared" si="302"/>
        <v>0</v>
      </c>
      <c r="T1607" s="84"/>
      <c r="AA1607" s="831">
        <v>0</v>
      </c>
      <c r="AB1607" s="84">
        <f t="shared" si="310"/>
        <v>0</v>
      </c>
      <c r="AE1607" s="84">
        <f t="shared" si="304"/>
        <v>0</v>
      </c>
    </row>
    <row r="1608" spans="1:31" ht="19.5" hidden="1" customHeight="1" x14ac:dyDescent="0.25">
      <c r="A1608" s="84"/>
      <c r="B1608" s="84"/>
      <c r="C1608" s="84"/>
      <c r="D1608" s="84"/>
      <c r="F1608" s="1035">
        <v>4512</v>
      </c>
      <c r="G1608" s="874" t="s">
        <v>1700</v>
      </c>
      <c r="I1608" s="763">
        <v>0</v>
      </c>
      <c r="J1608" s="764" t="e">
        <f t="shared" si="300"/>
        <v>#DIV/0!</v>
      </c>
      <c r="K1608" s="763">
        <f t="shared" si="301"/>
        <v>0</v>
      </c>
      <c r="L1608" s="1037">
        <v>0</v>
      </c>
      <c r="M1608" s="1037">
        <v>0</v>
      </c>
      <c r="N1608" s="1038" t="e">
        <f t="shared" si="308"/>
        <v>#DIV/0!</v>
      </c>
      <c r="O1608" s="1037">
        <f t="shared" si="305"/>
        <v>0</v>
      </c>
      <c r="P1608" s="1037">
        <f t="shared" si="306"/>
        <v>0</v>
      </c>
      <c r="Q1608" s="1037">
        <f t="shared" si="309"/>
        <v>0</v>
      </c>
      <c r="R1608" s="1038" t="e">
        <f t="shared" si="307"/>
        <v>#DIV/0!</v>
      </c>
      <c r="S1608" s="1037">
        <f t="shared" si="302"/>
        <v>0</v>
      </c>
      <c r="T1608" s="84"/>
      <c r="AA1608" s="831">
        <v>0</v>
      </c>
      <c r="AB1608" s="84">
        <f t="shared" si="310"/>
        <v>0</v>
      </c>
      <c r="AE1608" s="84">
        <f t="shared" si="304"/>
        <v>0</v>
      </c>
    </row>
    <row r="1609" spans="1:31" ht="30" hidden="1" x14ac:dyDescent="0.25">
      <c r="A1609" s="84"/>
      <c r="B1609" s="84"/>
      <c r="C1609" s="84"/>
      <c r="D1609" s="84"/>
      <c r="F1609" s="1035">
        <v>452</v>
      </c>
      <c r="G1609" s="1036" t="s">
        <v>4134</v>
      </c>
      <c r="I1609" s="763">
        <v>0</v>
      </c>
      <c r="J1609" s="764" t="e">
        <f t="shared" si="300"/>
        <v>#DIV/0!</v>
      </c>
      <c r="K1609" s="763">
        <f t="shared" si="301"/>
        <v>0</v>
      </c>
      <c r="L1609" s="1037">
        <v>0</v>
      </c>
      <c r="M1609" s="1037">
        <v>0</v>
      </c>
      <c r="N1609" s="1038" t="e">
        <f t="shared" si="308"/>
        <v>#DIV/0!</v>
      </c>
      <c r="O1609" s="1037">
        <f t="shared" si="305"/>
        <v>0</v>
      </c>
      <c r="P1609" s="1037">
        <f t="shared" si="306"/>
        <v>0</v>
      </c>
      <c r="Q1609" s="1037">
        <f t="shared" si="309"/>
        <v>0</v>
      </c>
      <c r="R1609" s="1038" t="e">
        <f t="shared" si="307"/>
        <v>#DIV/0!</v>
      </c>
      <c r="S1609" s="1037">
        <f t="shared" si="302"/>
        <v>0</v>
      </c>
      <c r="T1609" s="84"/>
      <c r="AA1609" s="831">
        <v>0</v>
      </c>
      <c r="AB1609" s="84">
        <f t="shared" si="310"/>
        <v>0</v>
      </c>
      <c r="AE1609" s="84">
        <f t="shared" si="304"/>
        <v>0</v>
      </c>
    </row>
    <row r="1610" spans="1:31" hidden="1" x14ac:dyDescent="0.25">
      <c r="A1610" s="84"/>
      <c r="B1610" s="84"/>
      <c r="C1610" s="84"/>
      <c r="D1610" s="84"/>
      <c r="F1610" s="1035">
        <v>453</v>
      </c>
      <c r="G1610" s="1036" t="s">
        <v>4135</v>
      </c>
      <c r="I1610" s="763">
        <v>0</v>
      </c>
      <c r="J1610" s="764" t="e">
        <f t="shared" si="300"/>
        <v>#DIV/0!</v>
      </c>
      <c r="K1610" s="763">
        <f t="shared" si="301"/>
        <v>0</v>
      </c>
      <c r="L1610" s="1037">
        <v>0</v>
      </c>
      <c r="M1610" s="1037">
        <v>0</v>
      </c>
      <c r="N1610" s="1038" t="e">
        <f t="shared" si="308"/>
        <v>#DIV/0!</v>
      </c>
      <c r="O1610" s="1037">
        <f t="shared" si="305"/>
        <v>0</v>
      </c>
      <c r="P1610" s="1037">
        <f t="shared" si="306"/>
        <v>0</v>
      </c>
      <c r="Q1610" s="1037">
        <f t="shared" si="309"/>
        <v>0</v>
      </c>
      <c r="R1610" s="1038" t="e">
        <f t="shared" si="307"/>
        <v>#DIV/0!</v>
      </c>
      <c r="S1610" s="1037">
        <f t="shared" si="302"/>
        <v>0</v>
      </c>
      <c r="T1610" s="84"/>
      <c r="AA1610" s="831">
        <v>0</v>
      </c>
      <c r="AB1610" s="84">
        <f t="shared" si="310"/>
        <v>0</v>
      </c>
      <c r="AE1610" s="84">
        <f t="shared" si="304"/>
        <v>0</v>
      </c>
    </row>
    <row r="1611" spans="1:31" hidden="1" x14ac:dyDescent="0.25">
      <c r="A1611" s="84"/>
      <c r="B1611" s="84"/>
      <c r="C1611" s="84"/>
      <c r="D1611" s="84"/>
      <c r="F1611" s="1035">
        <v>454</v>
      </c>
      <c r="G1611" s="1036" t="s">
        <v>3807</v>
      </c>
      <c r="I1611" s="763">
        <v>0</v>
      </c>
      <c r="J1611" s="764" t="e">
        <f t="shared" si="300"/>
        <v>#DIV/0!</v>
      </c>
      <c r="K1611" s="763">
        <f t="shared" si="301"/>
        <v>0</v>
      </c>
      <c r="L1611" s="1037">
        <v>0</v>
      </c>
      <c r="M1611" s="1037">
        <v>0</v>
      </c>
      <c r="N1611" s="1038" t="e">
        <f t="shared" si="308"/>
        <v>#DIV/0!</v>
      </c>
      <c r="O1611" s="1037">
        <f t="shared" si="305"/>
        <v>0</v>
      </c>
      <c r="P1611" s="1037">
        <f t="shared" si="306"/>
        <v>0</v>
      </c>
      <c r="Q1611" s="1037">
        <f t="shared" si="309"/>
        <v>0</v>
      </c>
      <c r="R1611" s="1038" t="e">
        <f t="shared" si="307"/>
        <v>#DIV/0!</v>
      </c>
      <c r="S1611" s="1037">
        <f t="shared" si="302"/>
        <v>0</v>
      </c>
      <c r="T1611" s="84"/>
      <c r="AA1611" s="831">
        <v>0</v>
      </c>
      <c r="AB1611" s="84">
        <f t="shared" si="310"/>
        <v>0</v>
      </c>
      <c r="AE1611" s="84">
        <f t="shared" si="304"/>
        <v>0</v>
      </c>
    </row>
    <row r="1612" spans="1:31" hidden="1" x14ac:dyDescent="0.25">
      <c r="A1612" s="84"/>
      <c r="B1612" s="84"/>
      <c r="C1612" s="84"/>
      <c r="D1612" s="84"/>
      <c r="F1612" s="1035">
        <v>461</v>
      </c>
      <c r="G1612" s="1036" t="s">
        <v>4116</v>
      </c>
      <c r="I1612" s="763">
        <v>0</v>
      </c>
      <c r="J1612" s="764" t="e">
        <f t="shared" si="300"/>
        <v>#DIV/0!</v>
      </c>
      <c r="K1612" s="763">
        <f t="shared" si="301"/>
        <v>0</v>
      </c>
      <c r="L1612" s="1037">
        <v>0</v>
      </c>
      <c r="M1612" s="1037">
        <v>0</v>
      </c>
      <c r="N1612" s="1038" t="e">
        <f t="shared" si="308"/>
        <v>#DIV/0!</v>
      </c>
      <c r="O1612" s="1037">
        <f t="shared" si="305"/>
        <v>0</v>
      </c>
      <c r="P1612" s="1037">
        <f t="shared" si="306"/>
        <v>0</v>
      </c>
      <c r="Q1612" s="1037">
        <f t="shared" si="309"/>
        <v>0</v>
      </c>
      <c r="R1612" s="1038" t="e">
        <f t="shared" si="307"/>
        <v>#DIV/0!</v>
      </c>
      <c r="S1612" s="1037">
        <f t="shared" si="302"/>
        <v>0</v>
      </c>
      <c r="T1612" s="84"/>
      <c r="AA1612" s="831">
        <v>0</v>
      </c>
      <c r="AB1612" s="84">
        <f t="shared" si="310"/>
        <v>0</v>
      </c>
      <c r="AE1612" s="84">
        <f t="shared" si="304"/>
        <v>0</v>
      </c>
    </row>
    <row r="1613" spans="1:31" ht="30" hidden="1" x14ac:dyDescent="0.25">
      <c r="A1613" s="84"/>
      <c r="B1613" s="84"/>
      <c r="C1613" s="84"/>
      <c r="D1613" s="84"/>
      <c r="F1613" s="1035">
        <v>462</v>
      </c>
      <c r="G1613" s="1036" t="s">
        <v>3810</v>
      </c>
      <c r="I1613" s="763">
        <v>0</v>
      </c>
      <c r="J1613" s="764" t="e">
        <f t="shared" si="300"/>
        <v>#DIV/0!</v>
      </c>
      <c r="K1613" s="763">
        <f t="shared" si="301"/>
        <v>0</v>
      </c>
      <c r="L1613" s="1037">
        <v>0</v>
      </c>
      <c r="M1613" s="1037">
        <v>0</v>
      </c>
      <c r="N1613" s="1038" t="e">
        <f t="shared" si="308"/>
        <v>#DIV/0!</v>
      </c>
      <c r="O1613" s="1037">
        <f t="shared" si="305"/>
        <v>0</v>
      </c>
      <c r="P1613" s="1037">
        <f t="shared" si="306"/>
        <v>0</v>
      </c>
      <c r="Q1613" s="1037">
        <f t="shared" si="309"/>
        <v>0</v>
      </c>
      <c r="R1613" s="1038" t="e">
        <f t="shared" si="307"/>
        <v>#DIV/0!</v>
      </c>
      <c r="S1613" s="1037">
        <f t="shared" si="302"/>
        <v>0</v>
      </c>
      <c r="T1613" s="84"/>
      <c r="AA1613" s="831">
        <v>0</v>
      </c>
      <c r="AB1613" s="84">
        <f t="shared" si="310"/>
        <v>0</v>
      </c>
      <c r="AE1613" s="84">
        <f t="shared" si="304"/>
        <v>0</v>
      </c>
    </row>
    <row r="1614" spans="1:31" hidden="1" x14ac:dyDescent="0.25">
      <c r="A1614" s="84"/>
      <c r="B1614" s="84"/>
      <c r="C1614" s="84"/>
      <c r="D1614" s="84"/>
      <c r="F1614" s="1035">
        <v>4631</v>
      </c>
      <c r="G1614" s="1036" t="s">
        <v>3811</v>
      </c>
      <c r="I1614" s="763">
        <v>0</v>
      </c>
      <c r="J1614" s="764" t="e">
        <f t="shared" si="300"/>
        <v>#DIV/0!</v>
      </c>
      <c r="K1614" s="763">
        <f t="shared" si="301"/>
        <v>0</v>
      </c>
      <c r="L1614" s="1037">
        <v>0</v>
      </c>
      <c r="M1614" s="1037">
        <v>0</v>
      </c>
      <c r="N1614" s="1038" t="e">
        <f t="shared" si="308"/>
        <v>#DIV/0!</v>
      </c>
      <c r="O1614" s="1037">
        <f t="shared" si="305"/>
        <v>0</v>
      </c>
      <c r="P1614" s="1037">
        <f t="shared" si="306"/>
        <v>0</v>
      </c>
      <c r="Q1614" s="1037">
        <f t="shared" si="309"/>
        <v>0</v>
      </c>
      <c r="R1614" s="1038" t="e">
        <f t="shared" si="307"/>
        <v>#DIV/0!</v>
      </c>
      <c r="S1614" s="1037">
        <f t="shared" si="302"/>
        <v>0</v>
      </c>
      <c r="T1614" s="84"/>
      <c r="AA1614" s="831">
        <v>0</v>
      </c>
      <c r="AB1614" s="84">
        <f t="shared" si="310"/>
        <v>0</v>
      </c>
      <c r="AE1614" s="84">
        <f t="shared" si="304"/>
        <v>0</v>
      </c>
    </row>
    <row r="1615" spans="1:31" hidden="1" x14ac:dyDescent="0.25">
      <c r="A1615" s="84"/>
      <c r="B1615" s="84"/>
      <c r="C1615" s="84"/>
      <c r="D1615" s="84"/>
      <c r="F1615" s="1035">
        <v>4632</v>
      </c>
      <c r="G1615" s="1036" t="s">
        <v>3812</v>
      </c>
      <c r="I1615" s="763">
        <v>0</v>
      </c>
      <c r="J1615" s="764" t="e">
        <f t="shared" si="300"/>
        <v>#DIV/0!</v>
      </c>
      <c r="K1615" s="763">
        <f t="shared" si="301"/>
        <v>0</v>
      </c>
      <c r="L1615" s="1037">
        <v>0</v>
      </c>
      <c r="M1615" s="1037">
        <v>0</v>
      </c>
      <c r="N1615" s="1038" t="e">
        <f t="shared" si="308"/>
        <v>#DIV/0!</v>
      </c>
      <c r="O1615" s="1037">
        <f t="shared" si="305"/>
        <v>0</v>
      </c>
      <c r="P1615" s="1037">
        <f t="shared" si="306"/>
        <v>0</v>
      </c>
      <c r="Q1615" s="1037">
        <f t="shared" si="309"/>
        <v>0</v>
      </c>
      <c r="R1615" s="1038" t="e">
        <f t="shared" si="307"/>
        <v>#DIV/0!</v>
      </c>
      <c r="S1615" s="1037">
        <f t="shared" si="302"/>
        <v>0</v>
      </c>
      <c r="T1615" s="84"/>
      <c r="AA1615" s="831">
        <v>0</v>
      </c>
      <c r="AB1615" s="84">
        <f t="shared" si="310"/>
        <v>0</v>
      </c>
      <c r="AE1615" s="84">
        <f t="shared" si="304"/>
        <v>0</v>
      </c>
    </row>
    <row r="1616" spans="1:31" ht="30" hidden="1" x14ac:dyDescent="0.25">
      <c r="A1616" s="84"/>
      <c r="B1616" s="84"/>
      <c r="C1616" s="84"/>
      <c r="D1616" s="84"/>
      <c r="F1616" s="1035">
        <v>464</v>
      </c>
      <c r="G1616" s="1036" t="s">
        <v>3813</v>
      </c>
      <c r="I1616" s="763">
        <v>0</v>
      </c>
      <c r="J1616" s="764" t="e">
        <f t="shared" si="300"/>
        <v>#DIV/0!</v>
      </c>
      <c r="K1616" s="763">
        <f t="shared" si="301"/>
        <v>0</v>
      </c>
      <c r="L1616" s="1037">
        <v>0</v>
      </c>
      <c r="M1616" s="1037">
        <v>0</v>
      </c>
      <c r="N1616" s="1038" t="e">
        <f t="shared" si="308"/>
        <v>#DIV/0!</v>
      </c>
      <c r="O1616" s="1037">
        <f t="shared" si="305"/>
        <v>0</v>
      </c>
      <c r="P1616" s="1037">
        <f t="shared" si="306"/>
        <v>0</v>
      </c>
      <c r="Q1616" s="1037">
        <f t="shared" si="309"/>
        <v>0</v>
      </c>
      <c r="R1616" s="1038" t="e">
        <f t="shared" si="307"/>
        <v>#DIV/0!</v>
      </c>
      <c r="S1616" s="1037">
        <f t="shared" si="302"/>
        <v>0</v>
      </c>
      <c r="T1616" s="84"/>
      <c r="AA1616" s="831">
        <v>0</v>
      </c>
      <c r="AB1616" s="84">
        <f t="shared" si="310"/>
        <v>0</v>
      </c>
      <c r="AE1616" s="84">
        <f t="shared" si="304"/>
        <v>0</v>
      </c>
    </row>
    <row r="1617" spans="1:31" x14ac:dyDescent="0.25">
      <c r="A1617" s="84"/>
      <c r="B1617" s="84"/>
      <c r="C1617" s="84"/>
      <c r="D1617" s="84"/>
      <c r="E1617" s="760" t="s">
        <v>5276</v>
      </c>
      <c r="F1617" s="1035">
        <v>465</v>
      </c>
      <c r="G1617" s="1036" t="s">
        <v>4117</v>
      </c>
      <c r="H1617" s="763">
        <f>2151660-100000+1758</f>
        <v>2053418</v>
      </c>
      <c r="I1617" s="763">
        <v>2041588.63</v>
      </c>
      <c r="J1617" s="764">
        <f t="shared" si="300"/>
        <v>0.9942391807220935</v>
      </c>
      <c r="K1617" s="763">
        <f t="shared" si="301"/>
        <v>11829.370000000112</v>
      </c>
      <c r="L1617" s="1037">
        <v>0</v>
      </c>
      <c r="M1617" s="1037">
        <v>0</v>
      </c>
      <c r="N1617" s="1038"/>
      <c r="O1617" s="1037">
        <f t="shared" si="305"/>
        <v>0</v>
      </c>
      <c r="P1617" s="1037">
        <f t="shared" si="306"/>
        <v>2053418</v>
      </c>
      <c r="Q1617" s="1037">
        <f t="shared" si="309"/>
        <v>2041588.63</v>
      </c>
      <c r="R1617" s="1038">
        <f t="shared" si="307"/>
        <v>0.9942391807220935</v>
      </c>
      <c r="S1617" s="1037">
        <f t="shared" si="302"/>
        <v>11829.370000000112</v>
      </c>
      <c r="T1617" s="84"/>
      <c r="Z1617" s="830">
        <f t="shared" si="303"/>
        <v>2053418</v>
      </c>
      <c r="AA1617" s="831">
        <v>2347884.0299999998</v>
      </c>
      <c r="AB1617" s="84">
        <f t="shared" si="310"/>
        <v>-294466.0299999998</v>
      </c>
      <c r="AE1617" s="84">
        <f t="shared" si="304"/>
        <v>-294466.0299999998</v>
      </c>
    </row>
    <row r="1618" spans="1:31" hidden="1" x14ac:dyDescent="0.25">
      <c r="A1618" s="84"/>
      <c r="B1618" s="84"/>
      <c r="C1618" s="84"/>
      <c r="D1618" s="84"/>
      <c r="F1618" s="1035">
        <v>472</v>
      </c>
      <c r="G1618" s="1036" t="s">
        <v>3817</v>
      </c>
      <c r="H1618" s="763">
        <v>0</v>
      </c>
      <c r="I1618" s="763">
        <v>0</v>
      </c>
      <c r="K1618" s="763">
        <f t="shared" si="301"/>
        <v>0</v>
      </c>
      <c r="L1618" s="1037">
        <v>0</v>
      </c>
      <c r="M1618" s="1037">
        <v>0</v>
      </c>
      <c r="N1618" s="1038"/>
      <c r="O1618" s="1037">
        <f t="shared" si="305"/>
        <v>0</v>
      </c>
      <c r="P1618" s="1037">
        <f t="shared" si="306"/>
        <v>0</v>
      </c>
      <c r="Q1618" s="1037">
        <f t="shared" si="309"/>
        <v>0</v>
      </c>
      <c r="R1618" s="1038" t="e">
        <f t="shared" si="307"/>
        <v>#DIV/0!</v>
      </c>
      <c r="S1618" s="1037">
        <f t="shared" si="302"/>
        <v>0</v>
      </c>
      <c r="T1618" s="84"/>
      <c r="AA1618" s="831">
        <v>0</v>
      </c>
      <c r="AB1618" s="84">
        <f t="shared" si="310"/>
        <v>0</v>
      </c>
      <c r="AE1618" s="84">
        <f t="shared" si="304"/>
        <v>0</v>
      </c>
    </row>
    <row r="1619" spans="1:31" hidden="1" x14ac:dyDescent="0.25">
      <c r="A1619" s="84"/>
      <c r="B1619" s="84"/>
      <c r="C1619" s="84"/>
      <c r="D1619" s="84"/>
      <c r="F1619" s="1035">
        <v>481</v>
      </c>
      <c r="G1619" s="1036" t="s">
        <v>4136</v>
      </c>
      <c r="I1619" s="763">
        <v>0</v>
      </c>
      <c r="J1619" s="764" t="e">
        <f t="shared" si="300"/>
        <v>#DIV/0!</v>
      </c>
      <c r="K1619" s="763">
        <f t="shared" si="301"/>
        <v>0</v>
      </c>
      <c r="L1619" s="1037">
        <v>0</v>
      </c>
      <c r="M1619" s="1037">
        <v>0</v>
      </c>
      <c r="N1619" s="1038" t="e">
        <f t="shared" si="308"/>
        <v>#DIV/0!</v>
      </c>
      <c r="O1619" s="1037">
        <f t="shared" si="305"/>
        <v>0</v>
      </c>
      <c r="P1619" s="1037">
        <f t="shared" si="306"/>
        <v>0</v>
      </c>
      <c r="Q1619" s="1037">
        <f t="shared" si="309"/>
        <v>0</v>
      </c>
      <c r="R1619" s="1038" t="e">
        <f t="shared" si="307"/>
        <v>#DIV/0!</v>
      </c>
      <c r="S1619" s="1037">
        <f t="shared" si="302"/>
        <v>0</v>
      </c>
      <c r="T1619" s="84"/>
      <c r="AA1619" s="831">
        <v>0</v>
      </c>
      <c r="AB1619" s="84">
        <f t="shared" si="310"/>
        <v>0</v>
      </c>
      <c r="AE1619" s="84">
        <f t="shared" si="304"/>
        <v>0</v>
      </c>
    </row>
    <row r="1620" spans="1:31" x14ac:dyDescent="0.25">
      <c r="A1620" s="84"/>
      <c r="B1620" s="84"/>
      <c r="C1620" s="84"/>
      <c r="D1620" s="84"/>
      <c r="E1620" s="760" t="s">
        <v>5277</v>
      </c>
      <c r="F1620" s="1035">
        <v>482</v>
      </c>
      <c r="G1620" s="1036" t="s">
        <v>4137</v>
      </c>
      <c r="H1620" s="763">
        <v>19500</v>
      </c>
      <c r="I1620" s="763">
        <v>14467.7</v>
      </c>
      <c r="J1620" s="764">
        <f t="shared" si="300"/>
        <v>0.74193333333333333</v>
      </c>
      <c r="K1620" s="763">
        <f t="shared" si="301"/>
        <v>5032.2999999999993</v>
      </c>
      <c r="L1620" s="1037">
        <v>0</v>
      </c>
      <c r="M1620" s="1037">
        <v>0</v>
      </c>
      <c r="N1620" s="1038"/>
      <c r="O1620" s="1037">
        <f t="shared" si="305"/>
        <v>0</v>
      </c>
      <c r="P1620" s="1037">
        <f t="shared" si="306"/>
        <v>19500</v>
      </c>
      <c r="Q1620" s="1037">
        <f t="shared" si="309"/>
        <v>14467.7</v>
      </c>
      <c r="R1620" s="1038">
        <f t="shared" si="307"/>
        <v>0.74193333333333333</v>
      </c>
      <c r="S1620" s="1037">
        <f t="shared" si="302"/>
        <v>5032.2999999999993</v>
      </c>
      <c r="T1620" s="84"/>
      <c r="Z1620" s="830">
        <f t="shared" si="303"/>
        <v>19500</v>
      </c>
      <c r="AA1620" s="831">
        <v>35000</v>
      </c>
      <c r="AB1620" s="84">
        <f t="shared" si="310"/>
        <v>-15500</v>
      </c>
      <c r="AE1620" s="84">
        <f t="shared" si="304"/>
        <v>-15500</v>
      </c>
    </row>
    <row r="1621" spans="1:31" x14ac:dyDescent="0.25">
      <c r="A1621" s="84"/>
      <c r="B1621" s="84"/>
      <c r="C1621" s="84"/>
      <c r="D1621" s="84"/>
      <c r="E1621" s="760" t="s">
        <v>5278</v>
      </c>
      <c r="F1621" s="1035">
        <v>483</v>
      </c>
      <c r="G1621" s="1039" t="s">
        <v>4138</v>
      </c>
      <c r="H1621" s="763">
        <v>20000</v>
      </c>
      <c r="I1621" s="763">
        <v>12217.34</v>
      </c>
      <c r="J1621" s="764">
        <f t="shared" si="300"/>
        <v>0.61086700000000005</v>
      </c>
      <c r="K1621" s="763">
        <f t="shared" si="301"/>
        <v>7782.66</v>
      </c>
      <c r="L1621" s="1037">
        <v>0</v>
      </c>
      <c r="M1621" s="1037">
        <v>4024.82</v>
      </c>
      <c r="N1621" s="1038"/>
      <c r="O1621" s="1037">
        <f t="shared" si="305"/>
        <v>-4024.82</v>
      </c>
      <c r="P1621" s="1037">
        <f t="shared" si="306"/>
        <v>20000</v>
      </c>
      <c r="Q1621" s="1037">
        <f t="shared" si="309"/>
        <v>16242.16</v>
      </c>
      <c r="R1621" s="1038">
        <f t="shared" si="307"/>
        <v>0.81210799999999994</v>
      </c>
      <c r="S1621" s="1037">
        <f t="shared" si="302"/>
        <v>3757.84</v>
      </c>
      <c r="T1621" s="84"/>
      <c r="Z1621" s="830">
        <f t="shared" si="303"/>
        <v>20000</v>
      </c>
      <c r="AA1621" s="831">
        <v>35000</v>
      </c>
      <c r="AB1621" s="84">
        <f t="shared" si="310"/>
        <v>-15000</v>
      </c>
      <c r="AE1621" s="84">
        <f t="shared" si="304"/>
        <v>-15000</v>
      </c>
    </row>
    <row r="1622" spans="1:31" ht="45" hidden="1" x14ac:dyDescent="0.25">
      <c r="A1622" s="84"/>
      <c r="B1622" s="84"/>
      <c r="C1622" s="84"/>
      <c r="D1622" s="84"/>
      <c r="F1622" s="1035">
        <v>484</v>
      </c>
      <c r="G1622" s="1036" t="s">
        <v>4139</v>
      </c>
      <c r="H1622" s="763">
        <v>0</v>
      </c>
      <c r="J1622" s="764" t="e">
        <f t="shared" si="300"/>
        <v>#DIV/0!</v>
      </c>
      <c r="L1622" s="1040"/>
      <c r="M1622" s="1040"/>
      <c r="N1622" s="1041"/>
      <c r="O1622" s="1040"/>
      <c r="P1622" s="1040"/>
      <c r="Q1622" s="1040"/>
      <c r="R1622" s="1041"/>
      <c r="S1622" s="1040" t="e">
        <f t="shared" ref="S1622:S1643" si="311">SUM(H1622:L1622)</f>
        <v>#DIV/0!</v>
      </c>
      <c r="T1622" s="84"/>
      <c r="V1622" s="84"/>
      <c r="W1622" s="84"/>
      <c r="X1622" s="1030"/>
      <c r="Y1622" s="1031"/>
      <c r="Z1622" s="1032">
        <f t="shared" si="303"/>
        <v>0</v>
      </c>
      <c r="AA1622" s="1033"/>
      <c r="AB1622" s="84">
        <f t="shared" si="310"/>
        <v>0</v>
      </c>
      <c r="AE1622" s="84">
        <f t="shared" si="304"/>
        <v>0</v>
      </c>
    </row>
    <row r="1623" spans="1:31" ht="30" hidden="1" x14ac:dyDescent="0.25">
      <c r="A1623" s="84"/>
      <c r="B1623" s="84"/>
      <c r="C1623" s="84"/>
      <c r="D1623" s="84"/>
      <c r="F1623" s="1035">
        <v>485</v>
      </c>
      <c r="G1623" s="1036" t="s">
        <v>4140</v>
      </c>
      <c r="H1623" s="763">
        <v>0</v>
      </c>
      <c r="J1623" s="764" t="e">
        <f t="shared" si="300"/>
        <v>#DIV/0!</v>
      </c>
      <c r="L1623" s="1040"/>
      <c r="M1623" s="1040"/>
      <c r="N1623" s="1041"/>
      <c r="O1623" s="1040"/>
      <c r="P1623" s="1040"/>
      <c r="Q1623" s="1040"/>
      <c r="R1623" s="1041"/>
      <c r="S1623" s="1040" t="e">
        <f t="shared" si="311"/>
        <v>#DIV/0!</v>
      </c>
      <c r="T1623" s="84"/>
      <c r="V1623" s="84"/>
      <c r="W1623" s="84"/>
      <c r="X1623" s="1030"/>
      <c r="Y1623" s="1031"/>
      <c r="Z1623" s="1032">
        <f t="shared" si="303"/>
        <v>0</v>
      </c>
      <c r="AA1623" s="1033"/>
      <c r="AB1623" s="84">
        <f t="shared" si="310"/>
        <v>0</v>
      </c>
      <c r="AE1623" s="84">
        <f t="shared" si="304"/>
        <v>0</v>
      </c>
    </row>
    <row r="1624" spans="1:31" ht="30" hidden="1" x14ac:dyDescent="0.25">
      <c r="A1624" s="84"/>
      <c r="B1624" s="84"/>
      <c r="C1624" s="84"/>
      <c r="D1624" s="84"/>
      <c r="F1624" s="1035">
        <v>489</v>
      </c>
      <c r="G1624" s="1036" t="s">
        <v>3825</v>
      </c>
      <c r="H1624" s="763">
        <v>0</v>
      </c>
      <c r="J1624" s="764" t="e">
        <f t="shared" si="300"/>
        <v>#DIV/0!</v>
      </c>
      <c r="L1624" s="1040"/>
      <c r="M1624" s="1040"/>
      <c r="N1624" s="1041"/>
      <c r="O1624" s="1040"/>
      <c r="P1624" s="1040"/>
      <c r="Q1624" s="1040"/>
      <c r="R1624" s="1041"/>
      <c r="S1624" s="1040" t="e">
        <f t="shared" si="311"/>
        <v>#DIV/0!</v>
      </c>
      <c r="T1624" s="84"/>
      <c r="V1624" s="84"/>
      <c r="W1624" s="84"/>
      <c r="X1624" s="1030"/>
      <c r="Y1624" s="1031"/>
      <c r="Z1624" s="1032">
        <f t="shared" si="303"/>
        <v>0</v>
      </c>
      <c r="AA1624" s="1033"/>
      <c r="AB1624" s="84">
        <f t="shared" si="310"/>
        <v>0</v>
      </c>
      <c r="AE1624" s="84">
        <f t="shared" si="304"/>
        <v>0</v>
      </c>
    </row>
    <row r="1625" spans="1:31" ht="30" hidden="1" x14ac:dyDescent="0.25">
      <c r="A1625" s="84"/>
      <c r="B1625" s="84"/>
      <c r="C1625" s="84"/>
      <c r="D1625" s="84"/>
      <c r="F1625" s="1035">
        <v>494</v>
      </c>
      <c r="G1625" s="1036" t="s">
        <v>4118</v>
      </c>
      <c r="H1625" s="763">
        <v>0</v>
      </c>
      <c r="J1625" s="764" t="e">
        <f t="shared" si="300"/>
        <v>#DIV/0!</v>
      </c>
      <c r="L1625" s="1040"/>
      <c r="M1625" s="1040"/>
      <c r="N1625" s="1041"/>
      <c r="O1625" s="1040"/>
      <c r="P1625" s="1040"/>
      <c r="Q1625" s="1040"/>
      <c r="R1625" s="1041"/>
      <c r="S1625" s="1040" t="e">
        <f t="shared" si="311"/>
        <v>#DIV/0!</v>
      </c>
      <c r="T1625" s="84"/>
      <c r="V1625" s="84"/>
      <c r="W1625" s="84"/>
      <c r="X1625" s="1030"/>
      <c r="Y1625" s="1031"/>
      <c r="Z1625" s="1032">
        <f t="shared" si="303"/>
        <v>0</v>
      </c>
      <c r="AA1625" s="1033"/>
      <c r="AB1625" s="84">
        <f t="shared" si="310"/>
        <v>0</v>
      </c>
      <c r="AE1625" s="84">
        <f t="shared" si="304"/>
        <v>0</v>
      </c>
    </row>
    <row r="1626" spans="1:31" ht="30" hidden="1" x14ac:dyDescent="0.25">
      <c r="A1626" s="84"/>
      <c r="B1626" s="84"/>
      <c r="C1626" s="84"/>
      <c r="D1626" s="84"/>
      <c r="F1626" s="1035">
        <v>495</v>
      </c>
      <c r="G1626" s="1036" t="s">
        <v>4119</v>
      </c>
      <c r="H1626" s="763">
        <v>0</v>
      </c>
      <c r="J1626" s="764" t="e">
        <f t="shared" si="300"/>
        <v>#DIV/0!</v>
      </c>
      <c r="L1626" s="1040"/>
      <c r="M1626" s="1040"/>
      <c r="N1626" s="1041"/>
      <c r="O1626" s="1040"/>
      <c r="P1626" s="1040"/>
      <c r="Q1626" s="1040"/>
      <c r="R1626" s="1041"/>
      <c r="S1626" s="1040" t="e">
        <f t="shared" si="311"/>
        <v>#DIV/0!</v>
      </c>
      <c r="T1626" s="84"/>
      <c r="V1626" s="84"/>
      <c r="W1626" s="84"/>
      <c r="X1626" s="1030"/>
      <c r="Y1626" s="1031"/>
      <c r="Z1626" s="1032">
        <f t="shared" si="303"/>
        <v>0</v>
      </c>
      <c r="AA1626" s="1033"/>
      <c r="AB1626" s="84">
        <f t="shared" si="310"/>
        <v>0</v>
      </c>
      <c r="AE1626" s="84">
        <f t="shared" si="304"/>
        <v>0</v>
      </c>
    </row>
    <row r="1627" spans="1:31" ht="45" hidden="1" x14ac:dyDescent="0.25">
      <c r="A1627" s="84"/>
      <c r="B1627" s="84"/>
      <c r="C1627" s="84"/>
      <c r="D1627" s="84"/>
      <c r="F1627" s="1035">
        <v>496</v>
      </c>
      <c r="G1627" s="1036" t="s">
        <v>4120</v>
      </c>
      <c r="H1627" s="763">
        <v>0</v>
      </c>
      <c r="J1627" s="764" t="e">
        <f t="shared" si="300"/>
        <v>#DIV/0!</v>
      </c>
      <c r="L1627" s="1040"/>
      <c r="M1627" s="1040"/>
      <c r="N1627" s="1041"/>
      <c r="O1627" s="1040"/>
      <c r="P1627" s="1040"/>
      <c r="Q1627" s="1040"/>
      <c r="R1627" s="1041"/>
      <c r="S1627" s="1040" t="e">
        <f t="shared" si="311"/>
        <v>#DIV/0!</v>
      </c>
      <c r="T1627" s="84"/>
      <c r="V1627" s="84"/>
      <c r="W1627" s="84"/>
      <c r="X1627" s="1030"/>
      <c r="Y1627" s="1031"/>
      <c r="Z1627" s="1032">
        <f t="shared" si="303"/>
        <v>0</v>
      </c>
      <c r="AA1627" s="1033"/>
      <c r="AB1627" s="84">
        <f t="shared" si="310"/>
        <v>0</v>
      </c>
      <c r="AE1627" s="84">
        <f t="shared" si="304"/>
        <v>0</v>
      </c>
    </row>
    <row r="1628" spans="1:31" ht="30" hidden="1" x14ac:dyDescent="0.25">
      <c r="A1628" s="84"/>
      <c r="B1628" s="84"/>
      <c r="C1628" s="84"/>
      <c r="D1628" s="84"/>
      <c r="F1628" s="1035">
        <v>499</v>
      </c>
      <c r="G1628" s="1036" t="s">
        <v>4121</v>
      </c>
      <c r="H1628" s="763">
        <v>0</v>
      </c>
      <c r="J1628" s="764" t="e">
        <f t="shared" si="300"/>
        <v>#DIV/0!</v>
      </c>
      <c r="L1628" s="1040"/>
      <c r="M1628" s="1040"/>
      <c r="N1628" s="1041"/>
      <c r="O1628" s="1040"/>
      <c r="P1628" s="1040"/>
      <c r="Q1628" s="1040"/>
      <c r="R1628" s="1041"/>
      <c r="S1628" s="1040" t="e">
        <f t="shared" si="311"/>
        <v>#DIV/0!</v>
      </c>
      <c r="T1628" s="84"/>
      <c r="V1628" s="84"/>
      <c r="W1628" s="84"/>
      <c r="X1628" s="1030"/>
      <c r="Y1628" s="1031"/>
      <c r="Z1628" s="1032">
        <f t="shared" si="303"/>
        <v>0</v>
      </c>
      <c r="AA1628" s="1033"/>
      <c r="AB1628" s="84">
        <f t="shared" si="310"/>
        <v>0</v>
      </c>
      <c r="AE1628" s="84">
        <f t="shared" si="304"/>
        <v>0</v>
      </c>
    </row>
    <row r="1629" spans="1:31" hidden="1" x14ac:dyDescent="0.25">
      <c r="A1629" s="84"/>
      <c r="B1629" s="84"/>
      <c r="C1629" s="84"/>
      <c r="D1629" s="84"/>
      <c r="F1629" s="1035">
        <v>511</v>
      </c>
      <c r="G1629" s="1039" t="s">
        <v>4141</v>
      </c>
      <c r="H1629" s="763">
        <v>0</v>
      </c>
      <c r="J1629" s="764" t="e">
        <f t="shared" si="300"/>
        <v>#DIV/0!</v>
      </c>
      <c r="L1629" s="1040"/>
      <c r="M1629" s="1040"/>
      <c r="N1629" s="1041"/>
      <c r="O1629" s="1040"/>
      <c r="P1629" s="1040"/>
      <c r="Q1629" s="1040"/>
      <c r="R1629" s="1041"/>
      <c r="S1629" s="1040" t="e">
        <f t="shared" si="311"/>
        <v>#DIV/0!</v>
      </c>
      <c r="T1629" s="84"/>
      <c r="V1629" s="84"/>
      <c r="W1629" s="84"/>
      <c r="X1629" s="1030"/>
      <c r="Y1629" s="1031"/>
      <c r="Z1629" s="1032">
        <f t="shared" si="303"/>
        <v>0</v>
      </c>
      <c r="AA1629" s="1033"/>
      <c r="AB1629" s="84">
        <f t="shared" si="310"/>
        <v>0</v>
      </c>
      <c r="AE1629" s="84">
        <f t="shared" si="304"/>
        <v>0</v>
      </c>
    </row>
    <row r="1630" spans="1:31" x14ac:dyDescent="0.25">
      <c r="A1630" s="84"/>
      <c r="B1630" s="84"/>
      <c r="C1630" s="84"/>
      <c r="D1630" s="84"/>
      <c r="E1630" s="760" t="s">
        <v>3891</v>
      </c>
      <c r="F1630" s="1035">
        <v>512</v>
      </c>
      <c r="G1630" s="1039" t="s">
        <v>4142</v>
      </c>
      <c r="H1630" s="763">
        <v>170000</v>
      </c>
      <c r="I1630" s="763">
        <v>98704.01</v>
      </c>
      <c r="J1630" s="764">
        <f t="shared" si="300"/>
        <v>0.58061182352941176</v>
      </c>
      <c r="K1630" s="763">
        <f>H1630-I1630</f>
        <v>71295.990000000005</v>
      </c>
      <c r="L1630" s="1037">
        <v>0</v>
      </c>
      <c r="M1630" s="1037">
        <v>6484</v>
      </c>
      <c r="N1630" s="1038"/>
      <c r="O1630" s="1037">
        <f>L1630-M1630</f>
        <v>-6484</v>
      </c>
      <c r="P1630" s="1037">
        <f>L1630+H1630</f>
        <v>170000</v>
      </c>
      <c r="Q1630" s="1037">
        <f>M1630+I1630</f>
        <v>105188.01</v>
      </c>
      <c r="R1630" s="1038">
        <f>Q1630/P1630</f>
        <v>0.618753</v>
      </c>
      <c r="S1630" s="1037">
        <f>P1630-Q1630</f>
        <v>64811.990000000005</v>
      </c>
      <c r="T1630" s="84"/>
      <c r="V1630" s="84"/>
      <c r="W1630" s="84"/>
      <c r="Z1630" s="830">
        <f t="shared" si="303"/>
        <v>170000</v>
      </c>
      <c r="AA1630" s="831">
        <v>140000</v>
      </c>
      <c r="AB1630" s="84">
        <f t="shared" si="310"/>
        <v>30000</v>
      </c>
      <c r="AE1630" s="84">
        <f t="shared" si="304"/>
        <v>30000</v>
      </c>
    </row>
    <row r="1631" spans="1:31" ht="15.75" thickBot="1" x14ac:dyDescent="0.3">
      <c r="A1631" s="84"/>
      <c r="B1631" s="84"/>
      <c r="C1631" s="84"/>
      <c r="D1631" s="84"/>
      <c r="E1631" s="760" t="s">
        <v>3893</v>
      </c>
      <c r="F1631" s="1035">
        <v>513</v>
      </c>
      <c r="G1631" s="1039" t="s">
        <v>4143</v>
      </c>
      <c r="H1631" s="763">
        <f>70000-50000</f>
        <v>20000</v>
      </c>
      <c r="I1631" s="763">
        <v>20214.439999999999</v>
      </c>
      <c r="K1631" s="763">
        <f>H1631-I1631</f>
        <v>-214.43999999999869</v>
      </c>
      <c r="L1631" s="1037">
        <v>0</v>
      </c>
      <c r="M1631" s="1037">
        <v>0</v>
      </c>
      <c r="N1631" s="1038"/>
      <c r="O1631" s="1037">
        <f>L1631-M1631</f>
        <v>0</v>
      </c>
      <c r="P1631" s="1037">
        <f>L1631+H1631</f>
        <v>20000</v>
      </c>
      <c r="Q1631" s="1037">
        <f>M1631+I1631</f>
        <v>20214.439999999999</v>
      </c>
      <c r="R1631" s="1038">
        <f>Q1631/P1631</f>
        <v>1.0107219999999999</v>
      </c>
      <c r="S1631" s="1037">
        <f>P1631-Q1631</f>
        <v>-214.43999999999869</v>
      </c>
      <c r="T1631" s="84"/>
      <c r="W1631" s="84"/>
      <c r="Z1631" s="830">
        <f t="shared" si="303"/>
        <v>20000</v>
      </c>
      <c r="AA1631" s="831">
        <v>0</v>
      </c>
      <c r="AB1631" s="84">
        <f t="shared" si="310"/>
        <v>20000</v>
      </c>
      <c r="AE1631" s="84">
        <f t="shared" si="304"/>
        <v>20000</v>
      </c>
    </row>
    <row r="1632" spans="1:31" ht="15.75" hidden="1" thickBot="1" x14ac:dyDescent="0.3">
      <c r="A1632" s="84"/>
      <c r="B1632" s="84"/>
      <c r="C1632" s="84"/>
      <c r="D1632" s="84"/>
      <c r="F1632" s="1035">
        <v>514</v>
      </c>
      <c r="G1632" s="1036" t="s">
        <v>4144</v>
      </c>
      <c r="L1632" s="1040"/>
      <c r="M1632" s="1040"/>
      <c r="N1632" s="1041"/>
      <c r="O1632" s="1040"/>
      <c r="P1632" s="1040"/>
      <c r="Q1632" s="1040"/>
      <c r="R1632" s="1041"/>
      <c r="S1632" s="1040">
        <f t="shared" si="311"/>
        <v>0</v>
      </c>
      <c r="T1632" s="84"/>
      <c r="V1632" s="84"/>
      <c r="W1632" s="84"/>
      <c r="X1632" s="1030"/>
      <c r="Y1632" s="1031"/>
      <c r="Z1632" s="1032"/>
      <c r="AA1632" s="1033"/>
      <c r="AB1632" s="84">
        <f t="shared" si="310"/>
        <v>0</v>
      </c>
    </row>
    <row r="1633" spans="1:28" ht="15.75" hidden="1" thickBot="1" x14ac:dyDescent="0.3">
      <c r="A1633" s="84"/>
      <c r="B1633" s="84"/>
      <c r="C1633" s="84"/>
      <c r="D1633" s="84"/>
      <c r="F1633" s="1035">
        <v>515</v>
      </c>
      <c r="G1633" s="1036" t="s">
        <v>3836</v>
      </c>
      <c r="L1633" s="1040"/>
      <c r="M1633" s="1040"/>
      <c r="N1633" s="1041"/>
      <c r="O1633" s="1040"/>
      <c r="P1633" s="1040"/>
      <c r="Q1633" s="1040"/>
      <c r="R1633" s="1041"/>
      <c r="S1633" s="1040">
        <f t="shared" si="311"/>
        <v>0</v>
      </c>
      <c r="T1633" s="84"/>
      <c r="V1633" s="84"/>
      <c r="W1633" s="84"/>
      <c r="X1633" s="1030"/>
      <c r="Y1633" s="1031"/>
      <c r="Z1633" s="1032"/>
      <c r="AA1633" s="1033"/>
      <c r="AB1633" s="84">
        <f t="shared" si="310"/>
        <v>0</v>
      </c>
    </row>
    <row r="1634" spans="1:28" ht="15.75" hidden="1" thickBot="1" x14ac:dyDescent="0.3">
      <c r="A1634" s="84"/>
      <c r="B1634" s="84"/>
      <c r="C1634" s="84"/>
      <c r="D1634" s="84"/>
      <c r="F1634" s="1035">
        <v>521</v>
      </c>
      <c r="G1634" s="1036" t="s">
        <v>4145</v>
      </c>
      <c r="L1634" s="1040"/>
      <c r="M1634" s="1040"/>
      <c r="N1634" s="1041"/>
      <c r="O1634" s="1040"/>
      <c r="P1634" s="1040"/>
      <c r="Q1634" s="1040"/>
      <c r="R1634" s="1041"/>
      <c r="S1634" s="1040">
        <f t="shared" si="311"/>
        <v>0</v>
      </c>
      <c r="T1634" s="84"/>
      <c r="V1634" s="84"/>
      <c r="W1634" s="84"/>
      <c r="X1634" s="1030"/>
      <c r="Y1634" s="1031"/>
      <c r="Z1634" s="1032"/>
      <c r="AA1634" s="1033"/>
      <c r="AB1634" s="84">
        <f t="shared" si="310"/>
        <v>0</v>
      </c>
    </row>
    <row r="1635" spans="1:28" ht="15.75" hidden="1" thickBot="1" x14ac:dyDescent="0.3">
      <c r="A1635" s="84"/>
      <c r="B1635" s="84"/>
      <c r="C1635" s="84"/>
      <c r="D1635" s="84"/>
      <c r="F1635" s="1035">
        <v>522</v>
      </c>
      <c r="G1635" s="1036" t="s">
        <v>4146</v>
      </c>
      <c r="L1635" s="1040"/>
      <c r="M1635" s="1040"/>
      <c r="N1635" s="1041"/>
      <c r="O1635" s="1040"/>
      <c r="P1635" s="1040"/>
      <c r="Q1635" s="1040"/>
      <c r="R1635" s="1041"/>
      <c r="S1635" s="1040">
        <f t="shared" si="311"/>
        <v>0</v>
      </c>
      <c r="T1635" s="84"/>
      <c r="V1635" s="84"/>
      <c r="W1635" s="84"/>
      <c r="X1635" s="1030"/>
      <c r="Y1635" s="1031"/>
      <c r="Z1635" s="1032"/>
      <c r="AA1635" s="1033"/>
      <c r="AB1635" s="84">
        <f t="shared" si="310"/>
        <v>0</v>
      </c>
    </row>
    <row r="1636" spans="1:28" ht="15.75" hidden="1" thickBot="1" x14ac:dyDescent="0.3">
      <c r="A1636" s="84"/>
      <c r="B1636" s="84"/>
      <c r="C1636" s="84"/>
      <c r="D1636" s="84"/>
      <c r="F1636" s="1035">
        <v>523</v>
      </c>
      <c r="G1636" s="1036" t="s">
        <v>3841</v>
      </c>
      <c r="L1636" s="1040"/>
      <c r="M1636" s="1040"/>
      <c r="N1636" s="1041"/>
      <c r="O1636" s="1040"/>
      <c r="P1636" s="1040"/>
      <c r="Q1636" s="1040"/>
      <c r="R1636" s="1041"/>
      <c r="S1636" s="1040">
        <f t="shared" si="311"/>
        <v>0</v>
      </c>
      <c r="T1636" s="84"/>
      <c r="V1636" s="84"/>
      <c r="W1636" s="84"/>
      <c r="X1636" s="1030"/>
      <c r="Y1636" s="1031"/>
      <c r="Z1636" s="1032"/>
      <c r="AA1636" s="1033"/>
      <c r="AB1636" s="84">
        <f t="shared" si="310"/>
        <v>0</v>
      </c>
    </row>
    <row r="1637" spans="1:28" ht="15.75" hidden="1" thickBot="1" x14ac:dyDescent="0.3">
      <c r="A1637" s="84"/>
      <c r="B1637" s="84"/>
      <c r="C1637" s="84"/>
      <c r="D1637" s="84"/>
      <c r="F1637" s="1035">
        <v>531</v>
      </c>
      <c r="G1637" s="1036" t="s">
        <v>4122</v>
      </c>
      <c r="L1637" s="1040"/>
      <c r="M1637" s="1040"/>
      <c r="N1637" s="1041"/>
      <c r="O1637" s="1040"/>
      <c r="P1637" s="1040"/>
      <c r="Q1637" s="1040"/>
      <c r="R1637" s="1041"/>
      <c r="S1637" s="1040">
        <f t="shared" si="311"/>
        <v>0</v>
      </c>
      <c r="T1637" s="84"/>
      <c r="V1637" s="84"/>
      <c r="W1637" s="84"/>
      <c r="X1637" s="1030"/>
      <c r="Y1637" s="1031"/>
      <c r="Z1637" s="1032"/>
      <c r="AA1637" s="1033"/>
      <c r="AB1637" s="84">
        <f t="shared" si="310"/>
        <v>0</v>
      </c>
    </row>
    <row r="1638" spans="1:28" ht="15.75" hidden="1" thickBot="1" x14ac:dyDescent="0.3">
      <c r="A1638" s="84"/>
      <c r="B1638" s="84"/>
      <c r="C1638" s="84"/>
      <c r="D1638" s="84"/>
      <c r="F1638" s="1035">
        <v>541</v>
      </c>
      <c r="G1638" s="1036" t="s">
        <v>4147</v>
      </c>
      <c r="L1638" s="1040"/>
      <c r="M1638" s="1040"/>
      <c r="N1638" s="1041"/>
      <c r="O1638" s="1040"/>
      <c r="P1638" s="1040"/>
      <c r="Q1638" s="1040"/>
      <c r="R1638" s="1041"/>
      <c r="S1638" s="1040">
        <f t="shared" si="311"/>
        <v>0</v>
      </c>
      <c r="T1638" s="84"/>
      <c r="V1638" s="84"/>
      <c r="W1638" s="84"/>
      <c r="X1638" s="1030"/>
      <c r="Y1638" s="1031"/>
      <c r="Z1638" s="1032"/>
      <c r="AA1638" s="1033"/>
      <c r="AB1638" s="84">
        <f t="shared" si="310"/>
        <v>0</v>
      </c>
    </row>
    <row r="1639" spans="1:28" ht="15.75" hidden="1" thickBot="1" x14ac:dyDescent="0.3">
      <c r="A1639" s="84"/>
      <c r="B1639" s="84"/>
      <c r="C1639" s="84"/>
      <c r="D1639" s="84"/>
      <c r="F1639" s="1035">
        <v>542</v>
      </c>
      <c r="G1639" s="1036" t="s">
        <v>4148</v>
      </c>
      <c r="L1639" s="1040"/>
      <c r="M1639" s="1040"/>
      <c r="N1639" s="1041"/>
      <c r="O1639" s="1040"/>
      <c r="P1639" s="1040"/>
      <c r="Q1639" s="1040"/>
      <c r="R1639" s="1041"/>
      <c r="S1639" s="1040">
        <f t="shared" si="311"/>
        <v>0</v>
      </c>
      <c r="T1639" s="84"/>
      <c r="V1639" s="84"/>
      <c r="W1639" s="84"/>
      <c r="X1639" s="1030"/>
      <c r="Y1639" s="1031"/>
      <c r="Z1639" s="1032"/>
      <c r="AA1639" s="1033"/>
      <c r="AB1639" s="84">
        <f t="shared" si="310"/>
        <v>0</v>
      </c>
    </row>
    <row r="1640" spans="1:28" ht="15.75" hidden="1" thickBot="1" x14ac:dyDescent="0.3">
      <c r="A1640" s="84"/>
      <c r="B1640" s="84"/>
      <c r="C1640" s="84"/>
      <c r="D1640" s="84"/>
      <c r="F1640" s="1035">
        <v>543</v>
      </c>
      <c r="G1640" s="1036" t="s">
        <v>3846</v>
      </c>
      <c r="L1640" s="1040"/>
      <c r="M1640" s="1040"/>
      <c r="N1640" s="1041"/>
      <c r="O1640" s="1040"/>
      <c r="P1640" s="1040"/>
      <c r="Q1640" s="1040"/>
      <c r="R1640" s="1041"/>
      <c r="S1640" s="1040">
        <f t="shared" si="311"/>
        <v>0</v>
      </c>
      <c r="T1640" s="84"/>
      <c r="V1640" s="84"/>
      <c r="W1640" s="84"/>
      <c r="X1640" s="1030"/>
      <c r="Y1640" s="1031"/>
      <c r="Z1640" s="1032"/>
      <c r="AA1640" s="1033"/>
      <c r="AB1640" s="84">
        <f t="shared" si="310"/>
        <v>0</v>
      </c>
    </row>
    <row r="1641" spans="1:28" ht="45.75" hidden="1" thickBot="1" x14ac:dyDescent="0.3">
      <c r="A1641" s="84"/>
      <c r="B1641" s="84"/>
      <c r="C1641" s="84"/>
      <c r="D1641" s="84"/>
      <c r="F1641" s="1035">
        <v>551</v>
      </c>
      <c r="G1641" s="1036" t="s">
        <v>4123</v>
      </c>
      <c r="L1641" s="1040"/>
      <c r="M1641" s="1040"/>
      <c r="N1641" s="1041"/>
      <c r="O1641" s="1040"/>
      <c r="P1641" s="1040"/>
      <c r="Q1641" s="1040"/>
      <c r="R1641" s="1041"/>
      <c r="S1641" s="1040">
        <f t="shared" si="311"/>
        <v>0</v>
      </c>
      <c r="T1641" s="84"/>
      <c r="V1641" s="84"/>
      <c r="W1641" s="84"/>
      <c r="X1641" s="1030"/>
      <c r="Y1641" s="1031"/>
      <c r="Z1641" s="1032"/>
      <c r="AA1641" s="1033"/>
      <c r="AB1641" s="84">
        <f t="shared" si="310"/>
        <v>0</v>
      </c>
    </row>
    <row r="1642" spans="1:28" ht="15.75" hidden="1" thickBot="1" x14ac:dyDescent="0.3">
      <c r="A1642" s="84"/>
      <c r="B1642" s="84"/>
      <c r="C1642" s="84"/>
      <c r="D1642" s="84"/>
      <c r="F1642" s="1042">
        <v>611</v>
      </c>
      <c r="G1642" s="1039" t="s">
        <v>3852</v>
      </c>
      <c r="L1642" s="1040"/>
      <c r="M1642" s="1040"/>
      <c r="N1642" s="1041"/>
      <c r="O1642" s="1040"/>
      <c r="P1642" s="1040"/>
      <c r="Q1642" s="1040"/>
      <c r="R1642" s="1041"/>
      <c r="S1642" s="1040">
        <f t="shared" si="311"/>
        <v>0</v>
      </c>
      <c r="T1642" s="84"/>
      <c r="V1642" s="84"/>
      <c r="W1642" s="84"/>
      <c r="X1642" s="1030"/>
      <c r="Y1642" s="1031"/>
      <c r="Z1642" s="1032"/>
      <c r="AA1642" s="1033"/>
      <c r="AB1642" s="84">
        <f t="shared" si="310"/>
        <v>0</v>
      </c>
    </row>
    <row r="1643" spans="1:28" ht="15.75" hidden="1" thickBot="1" x14ac:dyDescent="0.3">
      <c r="A1643" s="84"/>
      <c r="B1643" s="84"/>
      <c r="C1643" s="84"/>
      <c r="D1643" s="84"/>
      <c r="F1643" s="1042">
        <v>620</v>
      </c>
      <c r="G1643" s="1039" t="s">
        <v>89</v>
      </c>
      <c r="L1643" s="1040"/>
      <c r="M1643" s="1040"/>
      <c r="N1643" s="1041"/>
      <c r="O1643" s="1040"/>
      <c r="P1643" s="1040"/>
      <c r="Q1643" s="1040"/>
      <c r="R1643" s="1041"/>
      <c r="S1643" s="1040">
        <f t="shared" si="311"/>
        <v>0</v>
      </c>
      <c r="T1643" s="84"/>
      <c r="V1643" s="84"/>
      <c r="W1643" s="84"/>
      <c r="X1643" s="1030"/>
      <c r="Y1643" s="1031"/>
      <c r="Z1643" s="1032"/>
      <c r="AA1643" s="1033"/>
      <c r="AB1643" s="84">
        <f t="shared" si="310"/>
        <v>0</v>
      </c>
    </row>
    <row r="1644" spans="1:28" x14ac:dyDescent="0.25">
      <c r="A1644" s="84"/>
      <c r="B1644" s="84"/>
      <c r="C1644" s="84"/>
      <c r="D1644" s="84"/>
      <c r="E1644" s="1043"/>
      <c r="F1644" s="1042"/>
      <c r="G1644" s="786" t="s">
        <v>4198</v>
      </c>
      <c r="H1644" s="787"/>
      <c r="I1644" s="787"/>
      <c r="J1644" s="788"/>
      <c r="K1644" s="787"/>
      <c r="L1644" s="1044"/>
      <c r="M1644" s="1044"/>
      <c r="N1644" s="1045"/>
      <c r="O1644" s="1044"/>
      <c r="P1644" s="1044"/>
      <c r="Q1644" s="1044"/>
      <c r="R1644" s="1045"/>
      <c r="S1644" s="1044"/>
      <c r="T1644" s="84"/>
      <c r="V1644" s="84"/>
      <c r="W1644" s="84"/>
      <c r="X1644" s="1030"/>
      <c r="Y1644" s="1031"/>
      <c r="Z1644" s="1032"/>
      <c r="AA1644" s="1033"/>
      <c r="AB1644" s="84">
        <f t="shared" si="310"/>
        <v>0</v>
      </c>
    </row>
    <row r="1645" spans="1:28" x14ac:dyDescent="0.25">
      <c r="A1645" s="84"/>
      <c r="B1645" s="84"/>
      <c r="C1645" s="84"/>
      <c r="D1645" s="84"/>
      <c r="E1645" s="791"/>
      <c r="F1645" s="1046" t="s">
        <v>235</v>
      </c>
      <c r="G1645" s="1023" t="s">
        <v>236</v>
      </c>
      <c r="H1645" s="794">
        <f>SUM(H1585:H1631)</f>
        <v>46232526</v>
      </c>
      <c r="I1645" s="794">
        <f>SUM(I1585:I1631)</f>
        <v>38532325.200000003</v>
      </c>
      <c r="J1645" s="795">
        <f>I1645/H1645</f>
        <v>0.83344624518245014</v>
      </c>
      <c r="K1645" s="794">
        <f>SUM(K1585:K1621)</f>
        <v>7629119.2500000037</v>
      </c>
      <c r="L1645" s="1047">
        <v>0</v>
      </c>
      <c r="M1645" s="1047">
        <v>0</v>
      </c>
      <c r="N1645" s="1048"/>
      <c r="O1645" s="1047">
        <f>L1645-M1645</f>
        <v>0</v>
      </c>
      <c r="P1645" s="1047">
        <f>L1645+H1645</f>
        <v>46232526</v>
      </c>
      <c r="Q1645" s="1047">
        <f>M1645+I1645</f>
        <v>38532325.200000003</v>
      </c>
      <c r="R1645" s="1048">
        <f>Q1645/P1645</f>
        <v>0.83344624518245014</v>
      </c>
      <c r="S1645" s="1047">
        <f>P1645-Q1645</f>
        <v>7700200.799999997</v>
      </c>
      <c r="T1645" s="84"/>
      <c r="V1645" s="84"/>
      <c r="W1645" s="84"/>
      <c r="X1645" s="1030"/>
      <c r="Y1645" s="1031"/>
      <c r="AA1645" s="1033"/>
      <c r="AB1645" s="84">
        <f t="shared" si="310"/>
        <v>0</v>
      </c>
    </row>
    <row r="1646" spans="1:28" hidden="1" x14ac:dyDescent="0.25">
      <c r="A1646" s="84"/>
      <c r="B1646" s="84"/>
      <c r="C1646" s="84"/>
      <c r="D1646" s="84"/>
      <c r="F1646" s="1046" t="s">
        <v>237</v>
      </c>
      <c r="G1646" s="1023" t="s">
        <v>238</v>
      </c>
      <c r="L1646" s="1037"/>
      <c r="M1646" s="1037"/>
      <c r="N1646" s="1038"/>
      <c r="O1646" s="1037"/>
      <c r="P1646" s="1037"/>
      <c r="Q1646" s="1037"/>
      <c r="R1646" s="1038"/>
      <c r="S1646" s="1047">
        <f t="shared" ref="S1646:S1659" si="312">SUM(H1646:L1646)</f>
        <v>0</v>
      </c>
      <c r="T1646" s="84"/>
      <c r="V1646" s="84"/>
      <c r="W1646" s="84"/>
      <c r="X1646" s="1030"/>
      <c r="Y1646" s="1031"/>
      <c r="Z1646" s="1032"/>
      <c r="AA1646" s="1033"/>
      <c r="AB1646" s="84">
        <f t="shared" si="310"/>
        <v>0</v>
      </c>
    </row>
    <row r="1647" spans="1:28" hidden="1" x14ac:dyDescent="0.25">
      <c r="A1647" s="84"/>
      <c r="B1647" s="84"/>
      <c r="C1647" s="84"/>
      <c r="D1647" s="84"/>
      <c r="F1647" s="1046" t="s">
        <v>239</v>
      </c>
      <c r="G1647" s="1023" t="s">
        <v>240</v>
      </c>
      <c r="L1647" s="1037"/>
      <c r="M1647" s="1037"/>
      <c r="N1647" s="1038"/>
      <c r="O1647" s="1037"/>
      <c r="P1647" s="1037"/>
      <c r="Q1647" s="1037"/>
      <c r="R1647" s="1038"/>
      <c r="S1647" s="1047">
        <f t="shared" si="312"/>
        <v>0</v>
      </c>
      <c r="T1647" s="84"/>
      <c r="V1647" s="84"/>
      <c r="W1647" s="84"/>
      <c r="X1647" s="1030"/>
      <c r="Y1647" s="1031"/>
      <c r="Z1647" s="1032"/>
      <c r="AA1647" s="1033"/>
      <c r="AB1647" s="84">
        <f t="shared" si="310"/>
        <v>0</v>
      </c>
    </row>
    <row r="1648" spans="1:28" hidden="1" x14ac:dyDescent="0.25">
      <c r="A1648" s="84"/>
      <c r="B1648" s="84"/>
      <c r="C1648" s="84"/>
      <c r="D1648" s="84"/>
      <c r="F1648" s="1046" t="s">
        <v>241</v>
      </c>
      <c r="G1648" s="1023" t="s">
        <v>242</v>
      </c>
      <c r="H1648" s="763">
        <v>0</v>
      </c>
      <c r="I1648" s="763">
        <v>0</v>
      </c>
      <c r="K1648" s="763">
        <v>0</v>
      </c>
      <c r="L1648" s="1037">
        <v>0</v>
      </c>
      <c r="M1648" s="1037">
        <v>276452.11</v>
      </c>
      <c r="N1648" s="1038"/>
      <c r="O1648" s="1037">
        <f>L1648-M1648</f>
        <v>-276452.11</v>
      </c>
      <c r="P1648" s="1037">
        <v>0</v>
      </c>
      <c r="Q1648" s="1037">
        <f t="shared" ref="Q1648:Q1660" si="313">M1648+I1648</f>
        <v>276452.11</v>
      </c>
      <c r="R1648" s="1038"/>
      <c r="S1648" s="1047">
        <f>P1648-Q1648</f>
        <v>-276452.11</v>
      </c>
      <c r="T1648" s="84"/>
      <c r="V1648" s="84"/>
      <c r="W1648" s="84"/>
      <c r="X1648" s="1030"/>
      <c r="Y1648" s="1031"/>
      <c r="Z1648" s="1032"/>
      <c r="AA1648" s="1033"/>
      <c r="AB1648" s="84">
        <f t="shared" si="310"/>
        <v>0</v>
      </c>
    </row>
    <row r="1649" spans="1:28" hidden="1" x14ac:dyDescent="0.25">
      <c r="A1649" s="84"/>
      <c r="B1649" s="84"/>
      <c r="C1649" s="84"/>
      <c r="D1649" s="84"/>
      <c r="F1649" s="1046" t="s">
        <v>243</v>
      </c>
      <c r="G1649" s="1023" t="s">
        <v>244</v>
      </c>
      <c r="L1649" s="1037"/>
      <c r="M1649" s="1037"/>
      <c r="N1649" s="1038"/>
      <c r="O1649" s="1037"/>
      <c r="P1649" s="1037"/>
      <c r="Q1649" s="1037">
        <f t="shared" si="313"/>
        <v>0</v>
      </c>
      <c r="R1649" s="1038"/>
      <c r="S1649" s="1047">
        <f t="shared" si="312"/>
        <v>0</v>
      </c>
      <c r="T1649" s="84"/>
      <c r="V1649" s="84"/>
      <c r="W1649" s="84"/>
      <c r="X1649" s="1030"/>
      <c r="Y1649" s="1031"/>
      <c r="Z1649" s="1032"/>
      <c r="AA1649" s="1033"/>
      <c r="AB1649" s="84">
        <f t="shared" si="310"/>
        <v>0</v>
      </c>
    </row>
    <row r="1650" spans="1:28" hidden="1" x14ac:dyDescent="0.25">
      <c r="A1650" s="84"/>
      <c r="B1650" s="84"/>
      <c r="C1650" s="84"/>
      <c r="D1650" s="84"/>
      <c r="F1650" s="1046" t="s">
        <v>245</v>
      </c>
      <c r="G1650" s="1023" t="s">
        <v>246</v>
      </c>
      <c r="L1650" s="1037"/>
      <c r="M1650" s="1037"/>
      <c r="N1650" s="1038"/>
      <c r="O1650" s="1037"/>
      <c r="P1650" s="1037"/>
      <c r="Q1650" s="1037">
        <f t="shared" si="313"/>
        <v>0</v>
      </c>
      <c r="R1650" s="1038"/>
      <c r="S1650" s="1047">
        <f t="shared" si="312"/>
        <v>0</v>
      </c>
      <c r="T1650" s="84"/>
      <c r="V1650" s="84"/>
      <c r="W1650" s="84"/>
      <c r="X1650" s="1030"/>
      <c r="Y1650" s="1031"/>
      <c r="Z1650" s="1032"/>
      <c r="AA1650" s="1033"/>
      <c r="AB1650" s="84">
        <f t="shared" si="310"/>
        <v>0</v>
      </c>
    </row>
    <row r="1651" spans="1:28" x14ac:dyDescent="0.25">
      <c r="A1651" s="84"/>
      <c r="B1651" s="84"/>
      <c r="C1651" s="84"/>
      <c r="D1651" s="84"/>
      <c r="F1651" s="1046" t="s">
        <v>247</v>
      </c>
      <c r="G1651" s="1023" t="s">
        <v>4745</v>
      </c>
      <c r="H1651" s="763">
        <v>0</v>
      </c>
      <c r="I1651" s="763">
        <v>0</v>
      </c>
      <c r="K1651" s="763">
        <v>0</v>
      </c>
      <c r="L1651" s="1037">
        <f>SUM(L1585:L1586)</f>
        <v>10620355</v>
      </c>
      <c r="M1651" s="1037">
        <f>7254898.21+771297.24+138082.76</f>
        <v>8164278.21</v>
      </c>
      <c r="N1651" s="1038">
        <f>M1651/L1651</f>
        <v>0.76873872954340983</v>
      </c>
      <c r="O1651" s="1037">
        <f>L1651-M1651</f>
        <v>2456076.79</v>
      </c>
      <c r="P1651" s="1037">
        <f>L1651+H1651</f>
        <v>10620355</v>
      </c>
      <c r="Q1651" s="1037">
        <f t="shared" si="313"/>
        <v>8164278.21</v>
      </c>
      <c r="R1651" s="1038">
        <f>Q1651/P1651</f>
        <v>0.76873872954340983</v>
      </c>
      <c r="S1651" s="1047">
        <f>P1651-Q1651</f>
        <v>2456076.79</v>
      </c>
      <c r="T1651" s="84"/>
      <c r="V1651" s="84"/>
      <c r="W1651" s="84"/>
      <c r="X1651" s="1030"/>
      <c r="Y1651" s="1031"/>
      <c r="Z1651" s="1032"/>
      <c r="AA1651" s="1033"/>
      <c r="AB1651" s="84">
        <f t="shared" si="310"/>
        <v>0</v>
      </c>
    </row>
    <row r="1652" spans="1:28" ht="30" hidden="1" x14ac:dyDescent="0.25">
      <c r="A1652" s="84"/>
      <c r="B1652" s="84"/>
      <c r="C1652" s="84"/>
      <c r="D1652" s="84"/>
      <c r="F1652" s="1046" t="s">
        <v>248</v>
      </c>
      <c r="G1652" s="1023" t="s">
        <v>4744</v>
      </c>
      <c r="L1652" s="1049"/>
      <c r="M1652" s="1049"/>
      <c r="N1652" s="1050"/>
      <c r="O1652" s="1049"/>
      <c r="P1652" s="1049"/>
      <c r="Q1652" s="1049">
        <f t="shared" si="313"/>
        <v>0</v>
      </c>
      <c r="R1652" s="1050"/>
      <c r="S1652" s="1051">
        <f t="shared" si="312"/>
        <v>0</v>
      </c>
      <c r="T1652" s="84"/>
      <c r="V1652" s="84"/>
      <c r="W1652" s="84"/>
      <c r="X1652" s="1030"/>
      <c r="Y1652" s="1031"/>
      <c r="Z1652" s="1032"/>
      <c r="AA1652" s="1033"/>
      <c r="AB1652" s="84">
        <f t="shared" si="310"/>
        <v>0</v>
      </c>
    </row>
    <row r="1653" spans="1:28" hidden="1" x14ac:dyDescent="0.25">
      <c r="A1653" s="84"/>
      <c r="B1653" s="84"/>
      <c r="C1653" s="84"/>
      <c r="D1653" s="84"/>
      <c r="F1653" s="1046" t="s">
        <v>249</v>
      </c>
      <c r="G1653" s="1023" t="s">
        <v>58</v>
      </c>
      <c r="L1653" s="1049"/>
      <c r="M1653" s="1049"/>
      <c r="N1653" s="1050"/>
      <c r="O1653" s="1049"/>
      <c r="P1653" s="1049"/>
      <c r="Q1653" s="1049">
        <f t="shared" si="313"/>
        <v>0</v>
      </c>
      <c r="R1653" s="1050"/>
      <c r="S1653" s="1051">
        <f t="shared" si="312"/>
        <v>0</v>
      </c>
      <c r="T1653" s="84"/>
      <c r="V1653" s="84"/>
      <c r="W1653" s="84"/>
      <c r="X1653" s="1030"/>
      <c r="Y1653" s="1031"/>
      <c r="Z1653" s="1032"/>
      <c r="AA1653" s="1033"/>
      <c r="AB1653" s="84">
        <f t="shared" si="310"/>
        <v>0</v>
      </c>
    </row>
    <row r="1654" spans="1:28" hidden="1" x14ac:dyDescent="0.25">
      <c r="A1654" s="84"/>
      <c r="B1654" s="84"/>
      <c r="C1654" s="84"/>
      <c r="D1654" s="84"/>
      <c r="F1654" s="1046" t="s">
        <v>250</v>
      </c>
      <c r="G1654" s="1023" t="s">
        <v>251</v>
      </c>
      <c r="L1654" s="1049"/>
      <c r="M1654" s="1049"/>
      <c r="N1654" s="1050"/>
      <c r="O1654" s="1049"/>
      <c r="P1654" s="1049"/>
      <c r="Q1654" s="1049">
        <f t="shared" si="313"/>
        <v>0</v>
      </c>
      <c r="R1654" s="1050"/>
      <c r="S1654" s="1051">
        <f t="shared" si="312"/>
        <v>0</v>
      </c>
      <c r="T1654" s="84"/>
      <c r="V1654" s="84"/>
      <c r="W1654" s="84"/>
      <c r="X1654" s="1030"/>
      <c r="Y1654" s="1031"/>
      <c r="Z1654" s="1032"/>
      <c r="AA1654" s="1033"/>
      <c r="AB1654" s="84">
        <f t="shared" si="310"/>
        <v>0</v>
      </c>
    </row>
    <row r="1655" spans="1:28" hidden="1" x14ac:dyDescent="0.25">
      <c r="A1655" s="84"/>
      <c r="B1655" s="84"/>
      <c r="C1655" s="84"/>
      <c r="D1655" s="84"/>
      <c r="F1655" s="1046" t="s">
        <v>252</v>
      </c>
      <c r="G1655" s="1023" t="s">
        <v>253</v>
      </c>
      <c r="L1655" s="1049"/>
      <c r="M1655" s="1049"/>
      <c r="N1655" s="1050"/>
      <c r="O1655" s="1049"/>
      <c r="P1655" s="1049"/>
      <c r="Q1655" s="1049">
        <f t="shared" si="313"/>
        <v>0</v>
      </c>
      <c r="R1655" s="1050"/>
      <c r="S1655" s="1051">
        <f t="shared" si="312"/>
        <v>0</v>
      </c>
      <c r="T1655" s="84"/>
      <c r="V1655" s="84"/>
      <c r="W1655" s="84"/>
      <c r="X1655" s="1030"/>
      <c r="Y1655" s="1031"/>
      <c r="Z1655" s="1032"/>
      <c r="AA1655" s="1033"/>
      <c r="AB1655" s="84">
        <f t="shared" si="310"/>
        <v>0</v>
      </c>
    </row>
    <row r="1656" spans="1:28" ht="30" hidden="1" x14ac:dyDescent="0.25">
      <c r="A1656" s="84"/>
      <c r="B1656" s="84"/>
      <c r="C1656" s="84"/>
      <c r="D1656" s="84"/>
      <c r="F1656" s="1046" t="s">
        <v>254</v>
      </c>
      <c r="G1656" s="1023" t="s">
        <v>255</v>
      </c>
      <c r="L1656" s="1049"/>
      <c r="M1656" s="1049"/>
      <c r="N1656" s="1050"/>
      <c r="O1656" s="1049"/>
      <c r="P1656" s="1049"/>
      <c r="Q1656" s="1049">
        <f t="shared" si="313"/>
        <v>0</v>
      </c>
      <c r="R1656" s="1050"/>
      <c r="S1656" s="1051">
        <f t="shared" si="312"/>
        <v>0</v>
      </c>
      <c r="T1656" s="84"/>
      <c r="V1656" s="84"/>
      <c r="W1656" s="84"/>
      <c r="X1656" s="1030"/>
      <c r="Y1656" s="1031"/>
      <c r="Z1656" s="1032"/>
      <c r="AA1656" s="1033"/>
      <c r="AB1656" s="84">
        <f t="shared" si="310"/>
        <v>0</v>
      </c>
    </row>
    <row r="1657" spans="1:28" x14ac:dyDescent="0.25">
      <c r="A1657" s="84"/>
      <c r="B1657" s="84"/>
      <c r="C1657" s="84"/>
      <c r="D1657" s="84"/>
      <c r="F1657" s="1046" t="s">
        <v>256</v>
      </c>
      <c r="G1657" s="1023" t="s">
        <v>257</v>
      </c>
      <c r="H1657" s="763">
        <v>0</v>
      </c>
      <c r="I1657" s="763">
        <v>0</v>
      </c>
      <c r="K1657" s="763">
        <v>0</v>
      </c>
      <c r="L1657" s="889">
        <v>17788.73</v>
      </c>
      <c r="M1657" s="889">
        <v>997391.63</v>
      </c>
      <c r="N1657" s="890">
        <f>M1657/L1657</f>
        <v>56.068737341001864</v>
      </c>
      <c r="O1657" s="889">
        <f>L1657-M1657</f>
        <v>-979602.9</v>
      </c>
      <c r="P1657" s="889">
        <f>L1657+H1657</f>
        <v>17788.73</v>
      </c>
      <c r="Q1657" s="889">
        <f t="shared" si="313"/>
        <v>997391.63</v>
      </c>
      <c r="R1657" s="890"/>
      <c r="S1657" s="918">
        <f>P1657-Q1657</f>
        <v>-979602.9</v>
      </c>
      <c r="T1657" s="84"/>
      <c r="V1657" s="84"/>
      <c r="W1657" s="84"/>
      <c r="X1657" s="1030"/>
      <c r="Y1657" s="1031"/>
      <c r="Z1657" s="1032"/>
      <c r="AA1657" s="1033"/>
      <c r="AB1657" s="84">
        <f t="shared" si="310"/>
        <v>0</v>
      </c>
    </row>
    <row r="1658" spans="1:28" ht="30" hidden="1" x14ac:dyDescent="0.25">
      <c r="A1658" s="84"/>
      <c r="B1658" s="84"/>
      <c r="C1658" s="84"/>
      <c r="D1658" s="84"/>
      <c r="F1658" s="1046" t="s">
        <v>258</v>
      </c>
      <c r="G1658" s="1023" t="s">
        <v>259</v>
      </c>
      <c r="L1658" s="1049"/>
      <c r="M1658" s="1049"/>
      <c r="N1658" s="1050"/>
      <c r="O1658" s="1049"/>
      <c r="P1658" s="1049"/>
      <c r="Q1658" s="1049">
        <f t="shared" si="313"/>
        <v>0</v>
      </c>
      <c r="R1658" s="1050"/>
      <c r="S1658" s="1051">
        <f t="shared" si="312"/>
        <v>0</v>
      </c>
      <c r="T1658" s="84"/>
      <c r="V1658" s="84"/>
      <c r="W1658" s="84"/>
      <c r="X1658" s="1030"/>
      <c r="Y1658" s="1031"/>
      <c r="Z1658" s="1032"/>
      <c r="AA1658" s="1033"/>
      <c r="AB1658" s="84">
        <f t="shared" si="310"/>
        <v>0</v>
      </c>
    </row>
    <row r="1659" spans="1:28" ht="30" hidden="1" x14ac:dyDescent="0.25">
      <c r="A1659" s="84"/>
      <c r="B1659" s="84"/>
      <c r="C1659" s="84"/>
      <c r="D1659" s="84"/>
      <c r="F1659" s="1046" t="s">
        <v>260</v>
      </c>
      <c r="G1659" s="1023" t="s">
        <v>261</v>
      </c>
      <c r="L1659" s="1049"/>
      <c r="M1659" s="1049"/>
      <c r="N1659" s="1050"/>
      <c r="O1659" s="1049"/>
      <c r="P1659" s="1049"/>
      <c r="Q1659" s="1049">
        <f t="shared" si="313"/>
        <v>0</v>
      </c>
      <c r="R1659" s="1050"/>
      <c r="S1659" s="1051">
        <f t="shared" si="312"/>
        <v>0</v>
      </c>
      <c r="T1659" s="84"/>
      <c r="V1659" s="84"/>
      <c r="W1659" s="84"/>
      <c r="X1659" s="1030"/>
      <c r="Y1659" s="1031"/>
      <c r="Z1659" s="1032"/>
      <c r="AA1659" s="1033"/>
      <c r="AB1659" s="84">
        <f t="shared" si="310"/>
        <v>0</v>
      </c>
    </row>
    <row r="1660" spans="1:28" ht="15.75" thickBot="1" x14ac:dyDescent="0.3">
      <c r="A1660" s="84"/>
      <c r="B1660" s="84"/>
      <c r="C1660" s="84"/>
      <c r="D1660" s="84"/>
      <c r="F1660" s="1046" t="s">
        <v>262</v>
      </c>
      <c r="G1660" s="1023" t="s">
        <v>263</v>
      </c>
      <c r="H1660" s="794">
        <v>0</v>
      </c>
      <c r="I1660" s="794">
        <v>0</v>
      </c>
      <c r="J1660" s="795"/>
      <c r="K1660" s="794">
        <v>0</v>
      </c>
      <c r="L1660" s="1047">
        <f>L1598+L1594+L1593+1000000</f>
        <v>1327000</v>
      </c>
      <c r="M1660" s="1047">
        <v>876797.64</v>
      </c>
      <c r="N1660" s="1048">
        <f>M1660/L1660</f>
        <v>0.66073672946495854</v>
      </c>
      <c r="O1660" s="1047">
        <f>L1660-M1660</f>
        <v>450202.36</v>
      </c>
      <c r="P1660" s="1047">
        <f>L1660+H1660</f>
        <v>1327000</v>
      </c>
      <c r="Q1660" s="1047">
        <f t="shared" si="313"/>
        <v>876797.64</v>
      </c>
      <c r="R1660" s="1048">
        <f>Q1660/P1660</f>
        <v>0.66073672946495854</v>
      </c>
      <c r="S1660" s="1047">
        <f>P1660-Q1660</f>
        <v>450202.36</v>
      </c>
      <c r="T1660" s="84"/>
      <c r="V1660" s="84"/>
      <c r="W1660" s="84"/>
      <c r="X1660" s="1030"/>
      <c r="Y1660" s="1031"/>
      <c r="Z1660" s="1032"/>
      <c r="AA1660" s="1033"/>
      <c r="AB1660" s="84">
        <f t="shared" si="310"/>
        <v>0</v>
      </c>
    </row>
    <row r="1661" spans="1:28" ht="15.75" thickBot="1" x14ac:dyDescent="0.3">
      <c r="A1661" s="84"/>
      <c r="B1661" s="84"/>
      <c r="C1661" s="84"/>
      <c r="D1661" s="84"/>
      <c r="G1661" s="798" t="s">
        <v>4199</v>
      </c>
      <c r="H1661" s="799">
        <f>SUM(H1645:H1660)</f>
        <v>46232526</v>
      </c>
      <c r="I1661" s="799">
        <f>SUM(I1645:I1660)</f>
        <v>38532325.200000003</v>
      </c>
      <c r="J1661" s="800">
        <f>I1661/H1661</f>
        <v>0.83344624518245014</v>
      </c>
      <c r="K1661" s="799">
        <f>SUM(K1645:K1660)</f>
        <v>7629119.2500000037</v>
      </c>
      <c r="L1661" s="1052">
        <f>SUM(L1645:L1660)</f>
        <v>11965143.73</v>
      </c>
      <c r="M1661" s="1052">
        <f>SUM(M1645:M1660)</f>
        <v>10314919.590000002</v>
      </c>
      <c r="N1661" s="1053">
        <f>M1661/L1661</f>
        <v>0.8620807089962137</v>
      </c>
      <c r="O1661" s="1052">
        <f>SUM(O1645:O1660)</f>
        <v>1650224.1400000001</v>
      </c>
      <c r="P1661" s="1052">
        <f>SUM(P1645:P1660)</f>
        <v>58197669.729999997</v>
      </c>
      <c r="Q1661" s="1052">
        <f>SUM(Q1645:Q1660)</f>
        <v>48847244.790000007</v>
      </c>
      <c r="R1661" s="1053">
        <f>Q1661/P1661</f>
        <v>0.83933334473046795</v>
      </c>
      <c r="S1661" s="1052">
        <f>SUM(S1645:S1660)</f>
        <v>9350424.9399999958</v>
      </c>
      <c r="T1661" s="84"/>
      <c r="V1661" s="84"/>
      <c r="W1661" s="84"/>
      <c r="X1661" s="1030"/>
      <c r="Y1661" s="1031"/>
      <c r="Z1661" s="1032"/>
      <c r="AA1661" s="1033"/>
      <c r="AB1661" s="84">
        <f t="shared" si="310"/>
        <v>0</v>
      </c>
    </row>
    <row r="1662" spans="1:28" ht="28.5" collapsed="1" x14ac:dyDescent="0.25">
      <c r="A1662" s="84"/>
      <c r="B1662" s="84"/>
      <c r="C1662" s="84"/>
      <c r="D1662" s="84"/>
      <c r="E1662" s="1043"/>
      <c r="F1662" s="1042"/>
      <c r="G1662" s="1054" t="s">
        <v>4210</v>
      </c>
      <c r="H1662" s="804"/>
      <c r="I1662" s="805"/>
      <c r="J1662" s="806"/>
      <c r="K1662" s="805"/>
      <c r="L1662" s="1055"/>
      <c r="M1662" s="1056"/>
      <c r="N1662" s="1057"/>
      <c r="O1662" s="1056"/>
      <c r="P1662" s="1056"/>
      <c r="Q1662" s="1056"/>
      <c r="R1662" s="1057"/>
      <c r="S1662" s="1058"/>
      <c r="T1662" s="84"/>
      <c r="V1662" s="84"/>
      <c r="W1662" s="84"/>
      <c r="X1662" s="1030"/>
      <c r="Y1662" s="1031"/>
      <c r="Z1662" s="1032"/>
      <c r="AA1662" s="1033"/>
      <c r="AB1662" s="84">
        <f t="shared" si="310"/>
        <v>0</v>
      </c>
    </row>
    <row r="1663" spans="1:28" x14ac:dyDescent="0.25">
      <c r="A1663" s="84"/>
      <c r="B1663" s="84"/>
      <c r="C1663" s="84"/>
      <c r="D1663" s="84"/>
      <c r="E1663" s="791"/>
      <c r="F1663" s="1046" t="s">
        <v>235</v>
      </c>
      <c r="G1663" s="1023" t="s">
        <v>236</v>
      </c>
      <c r="H1663" s="794">
        <f>H1645</f>
        <v>46232526</v>
      </c>
      <c r="I1663" s="794">
        <f t="shared" ref="I1663:S1663" si="314">I1645</f>
        <v>38532325.200000003</v>
      </c>
      <c r="J1663" s="795">
        <f t="shared" si="314"/>
        <v>0.83344624518245014</v>
      </c>
      <c r="K1663" s="794">
        <f t="shared" si="314"/>
        <v>7629119.2500000037</v>
      </c>
      <c r="L1663" s="1047">
        <f t="shared" si="314"/>
        <v>0</v>
      </c>
      <c r="M1663" s="1047">
        <f t="shared" si="314"/>
        <v>0</v>
      </c>
      <c r="N1663" s="1048">
        <f t="shared" si="314"/>
        <v>0</v>
      </c>
      <c r="O1663" s="1047">
        <f t="shared" si="314"/>
        <v>0</v>
      </c>
      <c r="P1663" s="1047">
        <f t="shared" si="314"/>
        <v>46232526</v>
      </c>
      <c r="Q1663" s="1047">
        <f t="shared" si="314"/>
        <v>38532325.200000003</v>
      </c>
      <c r="R1663" s="1048">
        <f t="shared" si="314"/>
        <v>0.83344624518245014</v>
      </c>
      <c r="S1663" s="1047">
        <f t="shared" si="314"/>
        <v>7700200.799999997</v>
      </c>
      <c r="T1663" s="84"/>
      <c r="V1663" s="84"/>
      <c r="W1663" s="84"/>
      <c r="X1663" s="1030"/>
      <c r="Y1663" s="1031"/>
      <c r="Z1663" s="1032"/>
      <c r="AA1663" s="1033"/>
      <c r="AB1663" s="84">
        <f t="shared" si="310"/>
        <v>0</v>
      </c>
    </row>
    <row r="1664" spans="1:28" hidden="1" x14ac:dyDescent="0.25">
      <c r="A1664" s="84"/>
      <c r="B1664" s="84"/>
      <c r="C1664" s="84"/>
      <c r="D1664" s="84"/>
      <c r="F1664" s="1046" t="s">
        <v>237</v>
      </c>
      <c r="G1664" s="1023" t="s">
        <v>238</v>
      </c>
      <c r="L1664" s="1049"/>
      <c r="M1664" s="1049"/>
      <c r="N1664" s="1050"/>
      <c r="O1664" s="1049"/>
      <c r="P1664" s="1049"/>
      <c r="Q1664" s="1049"/>
      <c r="R1664" s="1050"/>
      <c r="S1664" s="1051">
        <f t="shared" ref="S1664:S1677" si="315">SUM(H1664:L1664)</f>
        <v>0</v>
      </c>
      <c r="T1664" s="84"/>
      <c r="V1664" s="84"/>
      <c r="W1664" s="84"/>
      <c r="X1664" s="1030"/>
      <c r="Y1664" s="1031"/>
      <c r="Z1664" s="1032"/>
      <c r="AA1664" s="1033"/>
      <c r="AB1664" s="84">
        <f t="shared" si="310"/>
        <v>0</v>
      </c>
    </row>
    <row r="1665" spans="1:28" hidden="1" x14ac:dyDescent="0.25">
      <c r="A1665" s="84"/>
      <c r="B1665" s="84"/>
      <c r="C1665" s="84"/>
      <c r="D1665" s="84"/>
      <c r="F1665" s="1046" t="s">
        <v>239</v>
      </c>
      <c r="G1665" s="1023" t="s">
        <v>240</v>
      </c>
      <c r="L1665" s="1049"/>
      <c r="M1665" s="1049"/>
      <c r="N1665" s="1050"/>
      <c r="O1665" s="1049"/>
      <c r="P1665" s="1049"/>
      <c r="Q1665" s="1049"/>
      <c r="R1665" s="1050"/>
      <c r="S1665" s="1051">
        <f t="shared" si="315"/>
        <v>0</v>
      </c>
      <c r="T1665" s="84"/>
      <c r="V1665" s="84"/>
      <c r="W1665" s="84"/>
      <c r="X1665" s="1030"/>
      <c r="Y1665" s="1031"/>
      <c r="Z1665" s="1032"/>
      <c r="AA1665" s="1033"/>
      <c r="AB1665" s="84">
        <f t="shared" si="310"/>
        <v>0</v>
      </c>
    </row>
    <row r="1666" spans="1:28" hidden="1" x14ac:dyDescent="0.25">
      <c r="F1666" s="1046" t="s">
        <v>241</v>
      </c>
      <c r="G1666" s="1023" t="s">
        <v>242</v>
      </c>
      <c r="H1666" s="763">
        <v>0</v>
      </c>
      <c r="I1666" s="763">
        <v>0</v>
      </c>
      <c r="K1666" s="763">
        <v>0</v>
      </c>
      <c r="L1666" s="1037">
        <v>0</v>
      </c>
      <c r="M1666" s="1037">
        <f>M1648</f>
        <v>276452.11</v>
      </c>
      <c r="N1666" s="1038"/>
      <c r="O1666" s="1037">
        <f>L1666-M1666</f>
        <v>-276452.11</v>
      </c>
      <c r="P1666" s="1037">
        <f>L1666+H1666</f>
        <v>0</v>
      </c>
      <c r="Q1666" s="1037">
        <f>M1666+I1666</f>
        <v>276452.11</v>
      </c>
      <c r="R1666" s="1038"/>
      <c r="S1666" s="1047">
        <f>P1666-Q1666</f>
        <v>-276452.11</v>
      </c>
      <c r="T1666" s="84"/>
      <c r="V1666" s="84"/>
      <c r="W1666" s="84"/>
      <c r="X1666" s="1030"/>
      <c r="Y1666" s="1031"/>
      <c r="Z1666" s="1032"/>
      <c r="AA1666" s="1033"/>
      <c r="AB1666" s="84">
        <f t="shared" si="310"/>
        <v>0</v>
      </c>
    </row>
    <row r="1667" spans="1:28" hidden="1" x14ac:dyDescent="0.25">
      <c r="F1667" s="1046" t="s">
        <v>243</v>
      </c>
      <c r="G1667" s="1023" t="s">
        <v>244</v>
      </c>
      <c r="L1667" s="1037"/>
      <c r="M1667" s="1037"/>
      <c r="N1667" s="1038"/>
      <c r="O1667" s="1037"/>
      <c r="P1667" s="1037"/>
      <c r="Q1667" s="1037"/>
      <c r="R1667" s="1038" t="e">
        <f t="shared" ref="R1667:R1677" si="316">Q1667/P1667</f>
        <v>#DIV/0!</v>
      </c>
      <c r="S1667" s="1047">
        <f t="shared" si="315"/>
        <v>0</v>
      </c>
      <c r="T1667" s="84"/>
      <c r="V1667" s="84"/>
      <c r="W1667" s="84"/>
      <c r="X1667" s="1030"/>
      <c r="Y1667" s="1031"/>
      <c r="Z1667" s="1032"/>
      <c r="AA1667" s="1033"/>
      <c r="AB1667" s="84">
        <f t="shared" si="310"/>
        <v>0</v>
      </c>
    </row>
    <row r="1668" spans="1:28" hidden="1" x14ac:dyDescent="0.25">
      <c r="F1668" s="1046" t="s">
        <v>245</v>
      </c>
      <c r="G1668" s="1023" t="s">
        <v>246</v>
      </c>
      <c r="L1668" s="1037"/>
      <c r="M1668" s="1037"/>
      <c r="N1668" s="1038"/>
      <c r="O1668" s="1037"/>
      <c r="P1668" s="1037"/>
      <c r="Q1668" s="1037"/>
      <c r="R1668" s="1038" t="e">
        <f t="shared" si="316"/>
        <v>#DIV/0!</v>
      </c>
      <c r="S1668" s="1047">
        <f t="shared" si="315"/>
        <v>0</v>
      </c>
      <c r="T1668" s="84"/>
      <c r="V1668" s="84"/>
      <c r="W1668" s="84"/>
      <c r="X1668" s="1030"/>
      <c r="Y1668" s="1031"/>
      <c r="Z1668" s="1032"/>
      <c r="AA1668" s="1033"/>
      <c r="AB1668" s="84">
        <f t="shared" si="310"/>
        <v>0</v>
      </c>
    </row>
    <row r="1669" spans="1:28" x14ac:dyDescent="0.25">
      <c r="F1669" s="1046" t="s">
        <v>247</v>
      </c>
      <c r="G1669" s="1023" t="s">
        <v>4745</v>
      </c>
      <c r="H1669" s="763">
        <f>H1651</f>
        <v>0</v>
      </c>
      <c r="I1669" s="763">
        <f t="shared" ref="I1669:S1669" si="317">I1651</f>
        <v>0</v>
      </c>
      <c r="K1669" s="763">
        <f t="shared" si="317"/>
        <v>0</v>
      </c>
      <c r="L1669" s="1037">
        <f t="shared" si="317"/>
        <v>10620355</v>
      </c>
      <c r="M1669" s="1037">
        <f>M1651</f>
        <v>8164278.21</v>
      </c>
      <c r="N1669" s="1038">
        <f t="shared" si="317"/>
        <v>0.76873872954340983</v>
      </c>
      <c r="O1669" s="1037">
        <f t="shared" si="317"/>
        <v>2456076.79</v>
      </c>
      <c r="P1669" s="1037">
        <f t="shared" si="317"/>
        <v>10620355</v>
      </c>
      <c r="Q1669" s="1037">
        <f t="shared" si="317"/>
        <v>8164278.21</v>
      </c>
      <c r="R1669" s="1038">
        <f t="shared" si="317"/>
        <v>0.76873872954340983</v>
      </c>
      <c r="S1669" s="1047">
        <f t="shared" si="317"/>
        <v>2456076.79</v>
      </c>
      <c r="T1669" s="84"/>
      <c r="V1669" s="84"/>
      <c r="W1669" s="84"/>
      <c r="X1669" s="1030"/>
      <c r="Y1669" s="1031"/>
      <c r="Z1669" s="1032"/>
      <c r="AA1669" s="1033"/>
      <c r="AB1669" s="84">
        <f t="shared" ref="AB1669:AB1720" si="318">Z1669-AA1669</f>
        <v>0</v>
      </c>
    </row>
    <row r="1670" spans="1:28" ht="30" hidden="1" x14ac:dyDescent="0.25">
      <c r="F1670" s="1046" t="s">
        <v>248</v>
      </c>
      <c r="G1670" s="1023" t="s">
        <v>4744</v>
      </c>
      <c r="L1670" s="1037"/>
      <c r="M1670" s="1037"/>
      <c r="N1670" s="1038"/>
      <c r="O1670" s="1037"/>
      <c r="P1670" s="1037"/>
      <c r="Q1670" s="1037"/>
      <c r="R1670" s="1038" t="e">
        <f t="shared" si="316"/>
        <v>#DIV/0!</v>
      </c>
      <c r="S1670" s="1047">
        <f t="shared" si="315"/>
        <v>0</v>
      </c>
      <c r="T1670" s="84"/>
      <c r="V1670" s="84"/>
      <c r="W1670" s="84"/>
      <c r="X1670" s="1030"/>
      <c r="Y1670" s="1031"/>
      <c r="Z1670" s="1032"/>
      <c r="AA1670" s="1033"/>
      <c r="AB1670" s="84">
        <f t="shared" si="318"/>
        <v>0</v>
      </c>
    </row>
    <row r="1671" spans="1:28" hidden="1" x14ac:dyDescent="0.25">
      <c r="F1671" s="1046" t="s">
        <v>249</v>
      </c>
      <c r="G1671" s="1023" t="s">
        <v>58</v>
      </c>
      <c r="L1671" s="1037"/>
      <c r="M1671" s="1037"/>
      <c r="N1671" s="1038"/>
      <c r="O1671" s="1037"/>
      <c r="P1671" s="1037"/>
      <c r="Q1671" s="1037"/>
      <c r="R1671" s="1038" t="e">
        <f t="shared" si="316"/>
        <v>#DIV/0!</v>
      </c>
      <c r="S1671" s="1047">
        <f t="shared" si="315"/>
        <v>0</v>
      </c>
      <c r="T1671" s="84"/>
      <c r="V1671" s="84"/>
      <c r="W1671" s="84"/>
      <c r="X1671" s="1030"/>
      <c r="Y1671" s="1031"/>
      <c r="Z1671" s="1032"/>
      <c r="AA1671" s="1033"/>
      <c r="AB1671" s="84">
        <f t="shared" si="318"/>
        <v>0</v>
      </c>
    </row>
    <row r="1672" spans="1:28" hidden="1" x14ac:dyDescent="0.25">
      <c r="F1672" s="1046" t="s">
        <v>250</v>
      </c>
      <c r="G1672" s="1023" t="s">
        <v>251</v>
      </c>
      <c r="L1672" s="1037"/>
      <c r="M1672" s="1037"/>
      <c r="N1672" s="1038"/>
      <c r="O1672" s="1037"/>
      <c r="P1672" s="1037"/>
      <c r="Q1672" s="1037"/>
      <c r="R1672" s="1038" t="e">
        <f t="shared" si="316"/>
        <v>#DIV/0!</v>
      </c>
      <c r="S1672" s="1047">
        <f t="shared" si="315"/>
        <v>0</v>
      </c>
      <c r="T1672" s="84"/>
      <c r="V1672" s="84"/>
      <c r="W1672" s="84"/>
      <c r="X1672" s="1030"/>
      <c r="Y1672" s="1031"/>
      <c r="Z1672" s="1032"/>
      <c r="AA1672" s="1033"/>
      <c r="AB1672" s="84">
        <f t="shared" si="318"/>
        <v>0</v>
      </c>
    </row>
    <row r="1673" spans="1:28" hidden="1" x14ac:dyDescent="0.25">
      <c r="F1673" s="1046" t="s">
        <v>252</v>
      </c>
      <c r="G1673" s="1023" t="s">
        <v>253</v>
      </c>
      <c r="L1673" s="1037"/>
      <c r="M1673" s="1037"/>
      <c r="N1673" s="1038"/>
      <c r="O1673" s="1037"/>
      <c r="P1673" s="1037"/>
      <c r="Q1673" s="1037"/>
      <c r="R1673" s="1038" t="e">
        <f t="shared" si="316"/>
        <v>#DIV/0!</v>
      </c>
      <c r="S1673" s="1047">
        <f t="shared" si="315"/>
        <v>0</v>
      </c>
      <c r="T1673" s="84"/>
      <c r="V1673" s="84"/>
      <c r="W1673" s="84"/>
      <c r="X1673" s="1030"/>
      <c r="Y1673" s="1031"/>
      <c r="Z1673" s="1032"/>
      <c r="AA1673" s="1033"/>
      <c r="AB1673" s="84">
        <f t="shared" si="318"/>
        <v>0</v>
      </c>
    </row>
    <row r="1674" spans="1:28" ht="30" hidden="1" x14ac:dyDescent="0.25">
      <c r="F1674" s="1046" t="s">
        <v>254</v>
      </c>
      <c r="G1674" s="1023" t="s">
        <v>255</v>
      </c>
      <c r="L1674" s="1037"/>
      <c r="M1674" s="1037"/>
      <c r="N1674" s="1038"/>
      <c r="O1674" s="1037"/>
      <c r="P1674" s="1037"/>
      <c r="Q1674" s="1037"/>
      <c r="R1674" s="1038" t="e">
        <f t="shared" si="316"/>
        <v>#DIV/0!</v>
      </c>
      <c r="S1674" s="1047">
        <f t="shared" si="315"/>
        <v>0</v>
      </c>
      <c r="T1674" s="84"/>
      <c r="V1674" s="84"/>
      <c r="W1674" s="84"/>
      <c r="X1674" s="1030"/>
      <c r="Y1674" s="1031"/>
      <c r="Z1674" s="1032"/>
      <c r="AA1674" s="1033"/>
      <c r="AB1674" s="84">
        <f t="shared" si="318"/>
        <v>0</v>
      </c>
    </row>
    <row r="1675" spans="1:28" x14ac:dyDescent="0.25">
      <c r="F1675" s="1046" t="s">
        <v>256</v>
      </c>
      <c r="G1675" s="1023" t="s">
        <v>257</v>
      </c>
      <c r="H1675" s="763">
        <f>H1657</f>
        <v>0</v>
      </c>
      <c r="I1675" s="763">
        <f t="shared" ref="I1675:S1675" si="319">I1657</f>
        <v>0</v>
      </c>
      <c r="J1675" s="763"/>
      <c r="K1675" s="763">
        <f t="shared" si="319"/>
        <v>0</v>
      </c>
      <c r="L1675" s="763">
        <f t="shared" si="319"/>
        <v>17788.73</v>
      </c>
      <c r="M1675" s="763">
        <f>M1657</f>
        <v>997391.63</v>
      </c>
      <c r="N1675" s="1038">
        <f>M1675/L1675</f>
        <v>56.068737341001864</v>
      </c>
      <c r="O1675" s="763">
        <f t="shared" si="319"/>
        <v>-979602.9</v>
      </c>
      <c r="P1675" s="763">
        <f t="shared" si="319"/>
        <v>17788.73</v>
      </c>
      <c r="Q1675" s="763">
        <f t="shared" si="319"/>
        <v>997391.63</v>
      </c>
      <c r="R1675" s="763"/>
      <c r="S1675" s="763">
        <f t="shared" si="319"/>
        <v>-979602.9</v>
      </c>
      <c r="T1675" s="84"/>
      <c r="V1675" s="84"/>
      <c r="W1675" s="84"/>
      <c r="X1675" s="1030"/>
      <c r="Y1675" s="1031"/>
      <c r="Z1675" s="1032"/>
      <c r="AA1675" s="1033"/>
      <c r="AB1675" s="84">
        <f t="shared" si="318"/>
        <v>0</v>
      </c>
    </row>
    <row r="1676" spans="1:28" ht="30" hidden="1" x14ac:dyDescent="0.25">
      <c r="F1676" s="1046" t="s">
        <v>258</v>
      </c>
      <c r="G1676" s="1023" t="s">
        <v>259</v>
      </c>
      <c r="L1676" s="1037"/>
      <c r="M1676" s="1037"/>
      <c r="N1676" s="1038"/>
      <c r="O1676" s="1037"/>
      <c r="P1676" s="1037"/>
      <c r="Q1676" s="1037"/>
      <c r="R1676" s="1038" t="e">
        <f t="shared" si="316"/>
        <v>#DIV/0!</v>
      </c>
      <c r="S1676" s="1047">
        <f t="shared" si="315"/>
        <v>0</v>
      </c>
      <c r="T1676" s="84"/>
      <c r="V1676" s="84"/>
      <c r="W1676" s="84"/>
      <c r="X1676" s="1030"/>
      <c r="Y1676" s="1031"/>
      <c r="Z1676" s="1032"/>
      <c r="AA1676" s="1033"/>
      <c r="AB1676" s="84">
        <f t="shared" si="318"/>
        <v>0</v>
      </c>
    </row>
    <row r="1677" spans="1:28" ht="30" hidden="1" x14ac:dyDescent="0.25">
      <c r="F1677" s="1046" t="s">
        <v>260</v>
      </c>
      <c r="G1677" s="1023" t="s">
        <v>261</v>
      </c>
      <c r="L1677" s="1037"/>
      <c r="M1677" s="1037"/>
      <c r="N1677" s="1038"/>
      <c r="O1677" s="1037"/>
      <c r="P1677" s="1037"/>
      <c r="Q1677" s="1037"/>
      <c r="R1677" s="1038" t="e">
        <f t="shared" si="316"/>
        <v>#DIV/0!</v>
      </c>
      <c r="S1677" s="1047">
        <f t="shared" si="315"/>
        <v>0</v>
      </c>
      <c r="T1677" s="84"/>
      <c r="V1677" s="84"/>
      <c r="W1677" s="84"/>
      <c r="X1677" s="1030"/>
      <c r="Y1677" s="1031"/>
      <c r="Z1677" s="1032"/>
      <c r="AA1677" s="1033"/>
      <c r="AB1677" s="84">
        <f t="shared" si="318"/>
        <v>0</v>
      </c>
    </row>
    <row r="1678" spans="1:28" ht="15.75" thickBot="1" x14ac:dyDescent="0.3">
      <c r="F1678" s="1046" t="s">
        <v>262</v>
      </c>
      <c r="G1678" s="1023" t="s">
        <v>263</v>
      </c>
      <c r="H1678" s="794">
        <f>H1660</f>
        <v>0</v>
      </c>
      <c r="I1678" s="794">
        <f t="shared" ref="I1678:S1678" si="320">I1660</f>
        <v>0</v>
      </c>
      <c r="J1678" s="795"/>
      <c r="K1678" s="794">
        <f t="shared" si="320"/>
        <v>0</v>
      </c>
      <c r="L1678" s="1047">
        <f t="shared" si="320"/>
        <v>1327000</v>
      </c>
      <c r="M1678" s="1047">
        <f>M1660</f>
        <v>876797.64</v>
      </c>
      <c r="N1678" s="1048">
        <f t="shared" si="320"/>
        <v>0.66073672946495854</v>
      </c>
      <c r="O1678" s="1047">
        <f t="shared" si="320"/>
        <v>450202.36</v>
      </c>
      <c r="P1678" s="1047">
        <f t="shared" si="320"/>
        <v>1327000</v>
      </c>
      <c r="Q1678" s="1047">
        <f t="shared" si="320"/>
        <v>876797.64</v>
      </c>
      <c r="R1678" s="1048">
        <f t="shared" si="320"/>
        <v>0.66073672946495854</v>
      </c>
      <c r="S1678" s="1047">
        <f t="shared" si="320"/>
        <v>450202.36</v>
      </c>
      <c r="T1678" s="84"/>
      <c r="V1678" s="84"/>
      <c r="W1678" s="84"/>
      <c r="X1678" s="1030"/>
      <c r="Y1678" s="1031"/>
      <c r="Z1678" s="1032"/>
      <c r="AA1678" s="1033"/>
      <c r="AB1678" s="84">
        <f t="shared" si="318"/>
        <v>0</v>
      </c>
    </row>
    <row r="1679" spans="1:28" ht="15.75" collapsed="1" thickBot="1" x14ac:dyDescent="0.3">
      <c r="G1679" s="798" t="s">
        <v>4211</v>
      </c>
      <c r="H1679" s="799">
        <f>H1661</f>
        <v>46232526</v>
      </c>
      <c r="I1679" s="799">
        <f t="shared" ref="I1679:R1679" si="321">I1661</f>
        <v>38532325.200000003</v>
      </c>
      <c r="J1679" s="800">
        <f t="shared" si="321"/>
        <v>0.83344624518245014</v>
      </c>
      <c r="K1679" s="799">
        <f t="shared" si="321"/>
        <v>7629119.2500000037</v>
      </c>
      <c r="L1679" s="1052">
        <f t="shared" si="321"/>
        <v>11965143.73</v>
      </c>
      <c r="M1679" s="1052">
        <f t="shared" si="321"/>
        <v>10314919.590000002</v>
      </c>
      <c r="N1679" s="1053">
        <f t="shared" si="321"/>
        <v>0.8620807089962137</v>
      </c>
      <c r="O1679" s="1052">
        <f t="shared" si="321"/>
        <v>1650224.1400000001</v>
      </c>
      <c r="P1679" s="1052">
        <f t="shared" si="321"/>
        <v>58197669.729999997</v>
      </c>
      <c r="Q1679" s="1052">
        <f t="shared" si="321"/>
        <v>48847244.790000007</v>
      </c>
      <c r="R1679" s="1053">
        <f t="shared" si="321"/>
        <v>0.83933334473046795</v>
      </c>
      <c r="S1679" s="1052">
        <f>SUM(S1663:S1678)</f>
        <v>9350424.9399999958</v>
      </c>
      <c r="T1679" s="84"/>
      <c r="V1679" s="84"/>
      <c r="W1679" s="84"/>
      <c r="X1679" s="1030"/>
      <c r="Y1679" s="1031"/>
      <c r="Z1679" s="1032"/>
      <c r="AA1679" s="1033"/>
      <c r="AB1679" s="84">
        <f t="shared" si="318"/>
        <v>0</v>
      </c>
    </row>
    <row r="1680" spans="1:28" x14ac:dyDescent="0.25">
      <c r="A1680" s="1059"/>
      <c r="B1680" s="1060"/>
      <c r="C1680" s="1061"/>
      <c r="D1680" s="1059"/>
      <c r="E1680" s="1060"/>
      <c r="F1680" s="1059"/>
      <c r="G1680" s="1062"/>
      <c r="H1680" s="1063"/>
      <c r="I1680" s="1063"/>
      <c r="J1680" s="1064"/>
      <c r="K1680" s="1063"/>
      <c r="L1680" s="776"/>
      <c r="M1680" s="776"/>
      <c r="N1680" s="777"/>
      <c r="O1680" s="776"/>
      <c r="P1680" s="776"/>
      <c r="Q1680" s="776"/>
      <c r="R1680" s="777"/>
      <c r="S1680" s="776"/>
      <c r="T1680" s="84"/>
      <c r="V1680" s="84"/>
      <c r="W1680" s="84"/>
      <c r="X1680" s="1030"/>
      <c r="Y1680" s="1031"/>
      <c r="Z1680" s="1032"/>
      <c r="AA1680" s="1033"/>
      <c r="AB1680" s="84">
        <f t="shared" si="318"/>
        <v>0</v>
      </c>
    </row>
    <row r="1681" spans="1:28" x14ac:dyDescent="0.25">
      <c r="A1681" s="1059"/>
      <c r="B1681" s="1060"/>
      <c r="C1681" s="1061"/>
      <c r="D1681" s="1059"/>
      <c r="E1681" s="1060"/>
      <c r="F1681" s="1059"/>
      <c r="G1681" s="1062"/>
      <c r="H1681" s="1063"/>
      <c r="I1681" s="1063"/>
      <c r="J1681" s="1064"/>
      <c r="K1681" s="1063"/>
      <c r="L1681" s="776"/>
      <c r="M1681" s="776"/>
      <c r="N1681" s="777"/>
      <c r="O1681" s="776"/>
      <c r="P1681" s="776"/>
      <c r="Q1681" s="776"/>
      <c r="R1681" s="777"/>
      <c r="S1681" s="776"/>
      <c r="T1681" s="84"/>
      <c r="V1681" s="84"/>
      <c r="W1681" s="84"/>
      <c r="X1681" s="1030"/>
      <c r="Y1681" s="1031"/>
      <c r="Z1681" s="1032"/>
      <c r="AA1681" s="1033"/>
      <c r="AB1681" s="84">
        <f t="shared" si="318"/>
        <v>0</v>
      </c>
    </row>
    <row r="1682" spans="1:28" x14ac:dyDescent="0.25">
      <c r="E1682" s="1043"/>
      <c r="F1682" s="1042"/>
      <c r="G1682" s="1065" t="s">
        <v>4785</v>
      </c>
      <c r="H1682" s="822"/>
      <c r="I1682" s="822"/>
      <c r="J1682" s="823"/>
      <c r="K1682" s="822"/>
      <c r="L1682" s="824"/>
      <c r="M1682" s="824"/>
      <c r="N1682" s="825"/>
      <c r="O1682" s="824"/>
      <c r="P1682" s="824"/>
      <c r="Q1682" s="824"/>
      <c r="R1682" s="825"/>
      <c r="S1682" s="880"/>
      <c r="T1682" s="84"/>
      <c r="V1682" s="84"/>
      <c r="W1682" s="84"/>
      <c r="X1682" s="1030"/>
      <c r="Y1682" s="1031"/>
      <c r="Z1682" s="1032"/>
      <c r="AA1682" s="1033"/>
      <c r="AB1682" s="84">
        <f t="shared" si="318"/>
        <v>0</v>
      </c>
    </row>
    <row r="1683" spans="1:28" x14ac:dyDescent="0.25">
      <c r="E1683" s="791"/>
      <c r="F1683" s="1046" t="s">
        <v>235</v>
      </c>
      <c r="G1683" s="1023" t="s">
        <v>236</v>
      </c>
      <c r="H1683" s="794">
        <f>H1663</f>
        <v>46232526</v>
      </c>
      <c r="I1683" s="794" t="e">
        <f>I1663+#REF!</f>
        <v>#REF!</v>
      </c>
      <c r="J1683" s="795" t="e">
        <f>I1683/H1683</f>
        <v>#REF!</v>
      </c>
      <c r="K1683" s="794" t="e">
        <f>H1683-I1683</f>
        <v>#REF!</v>
      </c>
      <c r="L1683" s="796">
        <v>0</v>
      </c>
      <c r="M1683" s="796">
        <v>0</v>
      </c>
      <c r="N1683" s="797"/>
      <c r="O1683" s="796">
        <f>SUM(O1663)</f>
        <v>0</v>
      </c>
      <c r="P1683" s="796">
        <f>H1683+L1683</f>
        <v>46232526</v>
      </c>
      <c r="Q1683" s="796" t="e">
        <f>I1683+M1683</f>
        <v>#REF!</v>
      </c>
      <c r="R1683" s="797" t="e">
        <f>Q1683/P1683</f>
        <v>#REF!</v>
      </c>
      <c r="S1683" s="796" t="e">
        <f>P1683-Q1683</f>
        <v>#REF!</v>
      </c>
      <c r="T1683" s="84"/>
      <c r="V1683" s="84"/>
      <c r="W1683" s="84"/>
      <c r="X1683" s="1030"/>
      <c r="Y1683" s="1031"/>
      <c r="Z1683" s="1032"/>
      <c r="AA1683" s="1033"/>
      <c r="AB1683" s="84">
        <f t="shared" si="318"/>
        <v>0</v>
      </c>
    </row>
    <row r="1684" spans="1:28" ht="21" hidden="1" customHeight="1" x14ac:dyDescent="0.25">
      <c r="F1684" s="1046" t="s">
        <v>237</v>
      </c>
      <c r="G1684" s="1023" t="s">
        <v>238</v>
      </c>
      <c r="S1684" s="796">
        <f t="shared" ref="S1684:S1697" si="322">SUM(H1684:L1684)</f>
        <v>0</v>
      </c>
      <c r="T1684" s="84"/>
      <c r="V1684" s="84"/>
      <c r="W1684" s="84"/>
      <c r="X1684" s="1030"/>
      <c r="Y1684" s="1031"/>
      <c r="Z1684" s="1032"/>
      <c r="AA1684" s="1033"/>
      <c r="AB1684" s="84">
        <f t="shared" si="318"/>
        <v>0</v>
      </c>
    </row>
    <row r="1685" spans="1:28" hidden="1" x14ac:dyDescent="0.25">
      <c r="F1685" s="1046" t="s">
        <v>239</v>
      </c>
      <c r="G1685" s="1023" t="s">
        <v>240</v>
      </c>
      <c r="S1685" s="796">
        <f t="shared" si="322"/>
        <v>0</v>
      </c>
      <c r="T1685" s="84"/>
      <c r="V1685" s="84"/>
      <c r="W1685" s="84"/>
      <c r="X1685" s="1030"/>
      <c r="Y1685" s="1031"/>
      <c r="Z1685" s="1032"/>
      <c r="AA1685" s="1033"/>
      <c r="AB1685" s="84">
        <f t="shared" si="318"/>
        <v>0</v>
      </c>
    </row>
    <row r="1686" spans="1:28" hidden="1" x14ac:dyDescent="0.25">
      <c r="F1686" s="1046" t="s">
        <v>241</v>
      </c>
      <c r="G1686" s="1023" t="s">
        <v>242</v>
      </c>
      <c r="H1686" s="1066">
        <v>0</v>
      </c>
      <c r="I1686" s="763">
        <v>0</v>
      </c>
      <c r="K1686" s="763">
        <v>0</v>
      </c>
      <c r="L1686" s="765">
        <v>0</v>
      </c>
      <c r="M1686" s="765">
        <f>M1666</f>
        <v>276452.11</v>
      </c>
      <c r="O1686" s="765">
        <f>O1666</f>
        <v>-276452.11</v>
      </c>
      <c r="P1686" s="765">
        <f t="shared" ref="P1686:P1698" si="323">H1686+L1686</f>
        <v>0</v>
      </c>
      <c r="Q1686" s="765">
        <f>I1686+M1686</f>
        <v>276452.11</v>
      </c>
      <c r="S1686" s="796">
        <f>P1686-Q1686</f>
        <v>-276452.11</v>
      </c>
      <c r="T1686" s="84"/>
      <c r="V1686" s="84"/>
      <c r="W1686" s="84"/>
      <c r="X1686" s="1030"/>
      <c r="Y1686" s="1031"/>
      <c r="Z1686" s="1032"/>
      <c r="AA1686" s="1033"/>
      <c r="AB1686" s="84">
        <f t="shared" si="318"/>
        <v>0</v>
      </c>
    </row>
    <row r="1687" spans="1:28" hidden="1" x14ac:dyDescent="0.25">
      <c r="F1687" s="1046" t="s">
        <v>243</v>
      </c>
      <c r="G1687" s="1023" t="s">
        <v>244</v>
      </c>
      <c r="P1687" s="765">
        <f t="shared" si="323"/>
        <v>0</v>
      </c>
      <c r="S1687" s="796">
        <f t="shared" si="322"/>
        <v>0</v>
      </c>
      <c r="T1687" s="84"/>
      <c r="V1687" s="84"/>
      <c r="W1687" s="84"/>
      <c r="X1687" s="1030"/>
      <c r="Y1687" s="1031"/>
      <c r="Z1687" s="1032"/>
      <c r="AA1687" s="1033"/>
      <c r="AB1687" s="84">
        <f t="shared" si="318"/>
        <v>0</v>
      </c>
    </row>
    <row r="1688" spans="1:28" hidden="1" x14ac:dyDescent="0.25">
      <c r="F1688" s="1046" t="s">
        <v>245</v>
      </c>
      <c r="G1688" s="1023" t="s">
        <v>246</v>
      </c>
      <c r="P1688" s="765">
        <f t="shared" si="323"/>
        <v>0</v>
      </c>
      <c r="S1688" s="796">
        <f t="shared" si="322"/>
        <v>0</v>
      </c>
      <c r="T1688" s="84"/>
      <c r="V1688" s="84"/>
      <c r="W1688" s="84"/>
      <c r="X1688" s="1030"/>
      <c r="Y1688" s="1031"/>
      <c r="Z1688" s="1032"/>
      <c r="AA1688" s="1033"/>
      <c r="AB1688" s="84">
        <f t="shared" si="318"/>
        <v>0</v>
      </c>
    </row>
    <row r="1689" spans="1:28" x14ac:dyDescent="0.25">
      <c r="F1689" s="1046" t="s">
        <v>247</v>
      </c>
      <c r="G1689" s="1023" t="s">
        <v>4745</v>
      </c>
      <c r="H1689" s="763">
        <f>SUM(H1669)</f>
        <v>0</v>
      </c>
      <c r="I1689" s="763">
        <f>SUM(I1669)</f>
        <v>0</v>
      </c>
      <c r="K1689" s="763">
        <f>SUM(K1669)</f>
        <v>0</v>
      </c>
      <c r="L1689" s="765">
        <f>SUM(L1669)</f>
        <v>10620355</v>
      </c>
      <c r="M1689" s="765">
        <f>SUM(M1669)</f>
        <v>8164278.21</v>
      </c>
      <c r="N1689" s="766">
        <f>M1689/L1689</f>
        <v>0.76873872954340983</v>
      </c>
      <c r="O1689" s="765">
        <f>SUM(O1669)</f>
        <v>2456076.79</v>
      </c>
      <c r="P1689" s="765">
        <f t="shared" si="323"/>
        <v>10620355</v>
      </c>
      <c r="Q1689" s="765">
        <f>SUM(Q1669)</f>
        <v>8164278.21</v>
      </c>
      <c r="R1689" s="766">
        <f>Q1689/P1689</f>
        <v>0.76873872954340983</v>
      </c>
      <c r="S1689" s="796">
        <f>SUM(S1669)</f>
        <v>2456076.79</v>
      </c>
      <c r="T1689" s="84"/>
      <c r="V1689" s="84"/>
      <c r="W1689" s="84"/>
      <c r="X1689" s="1030"/>
      <c r="Y1689" s="1031"/>
      <c r="Z1689" s="1032"/>
      <c r="AA1689" s="1033"/>
      <c r="AB1689" s="84">
        <f t="shared" si="318"/>
        <v>0</v>
      </c>
    </row>
    <row r="1690" spans="1:28" ht="30" hidden="1" x14ac:dyDescent="0.25">
      <c r="F1690" s="1046" t="s">
        <v>248</v>
      </c>
      <c r="G1690" s="1023" t="s">
        <v>4744</v>
      </c>
      <c r="P1690" s="765">
        <f t="shared" si="323"/>
        <v>0</v>
      </c>
      <c r="S1690" s="796">
        <f t="shared" si="322"/>
        <v>0</v>
      </c>
      <c r="T1690" s="84"/>
      <c r="V1690" s="84"/>
      <c r="W1690" s="84"/>
      <c r="X1690" s="1030"/>
      <c r="Y1690" s="1031"/>
      <c r="Z1690" s="1032"/>
      <c r="AA1690" s="1033"/>
      <c r="AB1690" s="84">
        <f t="shared" si="318"/>
        <v>0</v>
      </c>
    </row>
    <row r="1691" spans="1:28" hidden="1" x14ac:dyDescent="0.25">
      <c r="F1691" s="1046" t="s">
        <v>249</v>
      </c>
      <c r="G1691" s="1023" t="s">
        <v>58</v>
      </c>
      <c r="P1691" s="765">
        <f t="shared" si="323"/>
        <v>0</v>
      </c>
      <c r="S1691" s="796">
        <f t="shared" si="322"/>
        <v>0</v>
      </c>
      <c r="T1691" s="84"/>
      <c r="V1691" s="84"/>
      <c r="W1691" s="84"/>
      <c r="X1691" s="1030"/>
      <c r="Y1691" s="1031"/>
      <c r="Z1691" s="1032"/>
      <c r="AA1691" s="1033"/>
      <c r="AB1691" s="84">
        <f t="shared" si="318"/>
        <v>0</v>
      </c>
    </row>
    <row r="1692" spans="1:28" hidden="1" x14ac:dyDescent="0.25">
      <c r="F1692" s="1046" t="s">
        <v>250</v>
      </c>
      <c r="G1692" s="1023" t="s">
        <v>251</v>
      </c>
      <c r="P1692" s="765">
        <f t="shared" si="323"/>
        <v>0</v>
      </c>
      <c r="S1692" s="796">
        <f t="shared" si="322"/>
        <v>0</v>
      </c>
      <c r="T1692" s="84"/>
      <c r="V1692" s="84"/>
      <c r="W1692" s="84"/>
      <c r="X1692" s="1030"/>
      <c r="Y1692" s="1031"/>
      <c r="Z1692" s="1032"/>
      <c r="AA1692" s="1033"/>
      <c r="AB1692" s="84">
        <f t="shared" si="318"/>
        <v>0</v>
      </c>
    </row>
    <row r="1693" spans="1:28" hidden="1" x14ac:dyDescent="0.25">
      <c r="F1693" s="1046" t="s">
        <v>252</v>
      </c>
      <c r="G1693" s="1023" t="s">
        <v>253</v>
      </c>
      <c r="P1693" s="765">
        <f t="shared" si="323"/>
        <v>0</v>
      </c>
      <c r="S1693" s="796">
        <f t="shared" si="322"/>
        <v>0</v>
      </c>
      <c r="T1693" s="84"/>
      <c r="V1693" s="84"/>
      <c r="W1693" s="84"/>
      <c r="X1693" s="1030"/>
      <c r="Y1693" s="1031"/>
      <c r="Z1693" s="1032"/>
      <c r="AA1693" s="1033"/>
      <c r="AB1693" s="84">
        <f t="shared" si="318"/>
        <v>0</v>
      </c>
    </row>
    <row r="1694" spans="1:28" ht="30" hidden="1" x14ac:dyDescent="0.25">
      <c r="F1694" s="1046" t="s">
        <v>254</v>
      </c>
      <c r="G1694" s="1023" t="s">
        <v>255</v>
      </c>
      <c r="P1694" s="765">
        <f t="shared" si="323"/>
        <v>0</v>
      </c>
      <c r="S1694" s="796">
        <f t="shared" si="322"/>
        <v>0</v>
      </c>
      <c r="T1694" s="84"/>
      <c r="V1694" s="84"/>
      <c r="W1694" s="84"/>
      <c r="X1694" s="1030"/>
      <c r="Y1694" s="1031"/>
      <c r="Z1694" s="1032"/>
      <c r="AA1694" s="1033"/>
      <c r="AB1694" s="84">
        <f t="shared" si="318"/>
        <v>0</v>
      </c>
    </row>
    <row r="1695" spans="1:28" x14ac:dyDescent="0.25">
      <c r="F1695" s="1046" t="s">
        <v>256</v>
      </c>
      <c r="G1695" s="1023" t="s">
        <v>257</v>
      </c>
      <c r="H1695" s="763">
        <f>H1675</f>
        <v>0</v>
      </c>
      <c r="I1695" s="763">
        <f>I1675</f>
        <v>0</v>
      </c>
      <c r="K1695" s="763">
        <f>K1675</f>
        <v>0</v>
      </c>
      <c r="L1695" s="765">
        <f>L1675</f>
        <v>17788.73</v>
      </c>
      <c r="M1695" s="765">
        <f>M1675</f>
        <v>997391.63</v>
      </c>
      <c r="N1695" s="766">
        <f>M1695/L1695</f>
        <v>56.068737341001864</v>
      </c>
      <c r="O1695" s="765">
        <f>O1675</f>
        <v>-979602.9</v>
      </c>
      <c r="P1695" s="765">
        <f t="shared" si="323"/>
        <v>17788.73</v>
      </c>
      <c r="Q1695" s="765">
        <f>Q1675</f>
        <v>997391.63</v>
      </c>
      <c r="S1695" s="796">
        <f>S1675</f>
        <v>-979602.9</v>
      </c>
      <c r="T1695" s="84"/>
      <c r="V1695" s="84"/>
      <c r="W1695" s="84"/>
      <c r="X1695" s="1030"/>
      <c r="Y1695" s="1031"/>
      <c r="Z1695" s="1032"/>
      <c r="AA1695" s="1033"/>
      <c r="AB1695" s="84">
        <f t="shared" si="318"/>
        <v>0</v>
      </c>
    </row>
    <row r="1696" spans="1:28" ht="30" hidden="1" x14ac:dyDescent="0.25">
      <c r="A1696" s="84"/>
      <c r="B1696" s="84"/>
      <c r="C1696" s="84"/>
      <c r="D1696" s="84"/>
      <c r="F1696" s="1046" t="s">
        <v>258</v>
      </c>
      <c r="G1696" s="1023" t="s">
        <v>259</v>
      </c>
      <c r="P1696" s="765">
        <f t="shared" si="323"/>
        <v>0</v>
      </c>
      <c r="S1696" s="796">
        <f t="shared" si="322"/>
        <v>0</v>
      </c>
      <c r="T1696" s="84"/>
      <c r="V1696" s="84"/>
      <c r="W1696" s="84"/>
      <c r="X1696" s="1030"/>
      <c r="Y1696" s="1031"/>
      <c r="Z1696" s="1032"/>
      <c r="AA1696" s="1033"/>
      <c r="AB1696" s="84">
        <f t="shared" si="318"/>
        <v>0</v>
      </c>
    </row>
    <row r="1697" spans="1:28" ht="30" hidden="1" x14ac:dyDescent="0.25">
      <c r="A1697" s="84"/>
      <c r="B1697" s="84"/>
      <c r="C1697" s="84"/>
      <c r="D1697" s="84"/>
      <c r="F1697" s="1046" t="s">
        <v>260</v>
      </c>
      <c r="G1697" s="1023" t="s">
        <v>261</v>
      </c>
      <c r="P1697" s="765">
        <f t="shared" si="323"/>
        <v>0</v>
      </c>
      <c r="S1697" s="796">
        <f t="shared" si="322"/>
        <v>0</v>
      </c>
      <c r="T1697" s="84"/>
      <c r="V1697" s="84"/>
      <c r="W1697" s="84"/>
      <c r="X1697" s="1030"/>
      <c r="Y1697" s="1031"/>
      <c r="Z1697" s="1032"/>
      <c r="AA1697" s="1033"/>
      <c r="AB1697" s="84">
        <f t="shared" si="318"/>
        <v>0</v>
      </c>
    </row>
    <row r="1698" spans="1:28" ht="15.75" thickBot="1" x14ac:dyDescent="0.3">
      <c r="A1698" s="84"/>
      <c r="B1698" s="84"/>
      <c r="C1698" s="84"/>
      <c r="D1698" s="84"/>
      <c r="F1698" s="1046" t="s">
        <v>262</v>
      </c>
      <c r="G1698" s="1023" t="s">
        <v>263</v>
      </c>
      <c r="H1698" s="794">
        <f>H1678</f>
        <v>0</v>
      </c>
      <c r="I1698" s="794">
        <f>I1678</f>
        <v>0</v>
      </c>
      <c r="J1698" s="795"/>
      <c r="K1698" s="794">
        <f>K1678</f>
        <v>0</v>
      </c>
      <c r="L1698" s="796">
        <f>L1678</f>
        <v>1327000</v>
      </c>
      <c r="M1698" s="796">
        <f>M1678</f>
        <v>876797.64</v>
      </c>
      <c r="N1698" s="797">
        <f>N1678</f>
        <v>0.66073672946495854</v>
      </c>
      <c r="O1698" s="796">
        <f>O1678</f>
        <v>450202.36</v>
      </c>
      <c r="P1698" s="796">
        <f t="shared" si="323"/>
        <v>1327000</v>
      </c>
      <c r="Q1698" s="796">
        <f>Q1678</f>
        <v>876797.64</v>
      </c>
      <c r="R1698" s="797">
        <f>R1678</f>
        <v>0.66073672946495854</v>
      </c>
      <c r="S1698" s="796">
        <f>S1678</f>
        <v>450202.36</v>
      </c>
      <c r="T1698" s="84"/>
      <c r="V1698" s="84"/>
      <c r="W1698" s="84"/>
      <c r="X1698" s="1030"/>
      <c r="Y1698" s="1031"/>
      <c r="Z1698" s="1032"/>
      <c r="AA1698" s="1033"/>
      <c r="AB1698" s="84">
        <f t="shared" si="318"/>
        <v>0</v>
      </c>
    </row>
    <row r="1699" spans="1:28" ht="15.75" thickBot="1" x14ac:dyDescent="0.3">
      <c r="A1699" s="84"/>
      <c r="B1699" s="84"/>
      <c r="C1699" s="84"/>
      <c r="D1699" s="84"/>
      <c r="G1699" s="798" t="s">
        <v>4786</v>
      </c>
      <c r="H1699" s="799">
        <f>SUM(H1683:H1698)</f>
        <v>46232526</v>
      </c>
      <c r="I1699" s="799" t="e">
        <f>SUM(I1683:I1698)</f>
        <v>#REF!</v>
      </c>
      <c r="J1699" s="800" t="e">
        <f>I1699/H1699</f>
        <v>#REF!</v>
      </c>
      <c r="K1699" s="799" t="e">
        <f>H1699-I1699</f>
        <v>#REF!</v>
      </c>
      <c r="L1699" s="801">
        <f>SUM(L1683:L1698)</f>
        <v>11965143.73</v>
      </c>
      <c r="M1699" s="801">
        <f>SUM(M1683:M1698)</f>
        <v>10314919.590000002</v>
      </c>
      <c r="N1699" s="802">
        <f>M1699/L1699</f>
        <v>0.8620807089962137</v>
      </c>
      <c r="O1699" s="801">
        <f>O1679</f>
        <v>1650224.1400000001</v>
      </c>
      <c r="P1699" s="801">
        <f>SUM(P1683:P1698)</f>
        <v>58197669.729999997</v>
      </c>
      <c r="Q1699" s="801" t="e">
        <f>SUM(Q1683:Q1698)</f>
        <v>#REF!</v>
      </c>
      <c r="R1699" s="802">
        <f>R1679</f>
        <v>0.83933334473046795</v>
      </c>
      <c r="S1699" s="801" t="e">
        <f>S1679+#REF!</f>
        <v>#REF!</v>
      </c>
      <c r="T1699" s="84"/>
      <c r="V1699" s="84"/>
      <c r="W1699" s="84"/>
      <c r="X1699" s="1030"/>
      <c r="Y1699" s="1031"/>
      <c r="Z1699" s="1032"/>
      <c r="AA1699" s="1033"/>
      <c r="AB1699" s="84">
        <f t="shared" si="318"/>
        <v>0</v>
      </c>
    </row>
    <row r="1700" spans="1:28" x14ac:dyDescent="0.25">
      <c r="AB1700" s="84">
        <f t="shared" si="318"/>
        <v>0</v>
      </c>
    </row>
    <row r="1701" spans="1:28" x14ac:dyDescent="0.25">
      <c r="A1701" s="84"/>
      <c r="B1701" s="84"/>
      <c r="C1701" s="84"/>
      <c r="D1701" s="84"/>
      <c r="E1701" s="1043"/>
      <c r="F1701" s="1042"/>
      <c r="G1701" s="1065" t="s">
        <v>5020</v>
      </c>
      <c r="H1701" s="822"/>
      <c r="I1701" s="822"/>
      <c r="J1701" s="823"/>
      <c r="K1701" s="822"/>
      <c r="L1701" s="824"/>
      <c r="M1701" s="824"/>
      <c r="N1701" s="825"/>
      <c r="O1701" s="824"/>
      <c r="P1701" s="824"/>
      <c r="Q1701" s="824"/>
      <c r="R1701" s="825"/>
      <c r="S1701" s="880"/>
      <c r="T1701" s="84"/>
      <c r="V1701" s="84"/>
      <c r="W1701" s="84"/>
      <c r="X1701" s="1030"/>
      <c r="Y1701" s="1031"/>
      <c r="Z1701" s="1032"/>
      <c r="AA1701" s="1033"/>
      <c r="AB1701" s="84">
        <f t="shared" si="318"/>
        <v>0</v>
      </c>
    </row>
    <row r="1702" spans="1:28" x14ac:dyDescent="0.25">
      <c r="A1702" s="84"/>
      <c r="B1702" s="84"/>
      <c r="C1702" s="84"/>
      <c r="D1702" s="84"/>
      <c r="E1702" s="791"/>
      <c r="F1702" s="1046" t="s">
        <v>235</v>
      </c>
      <c r="G1702" s="1023" t="s">
        <v>236</v>
      </c>
      <c r="H1702" s="794">
        <f>H1683</f>
        <v>46232526</v>
      </c>
      <c r="I1702" s="794" t="e">
        <f t="shared" ref="I1702:S1702" si="324">I1683</f>
        <v>#REF!</v>
      </c>
      <c r="J1702" s="795" t="e">
        <f t="shared" si="324"/>
        <v>#REF!</v>
      </c>
      <c r="K1702" s="794" t="e">
        <f t="shared" si="324"/>
        <v>#REF!</v>
      </c>
      <c r="L1702" s="796">
        <f t="shared" si="324"/>
        <v>0</v>
      </c>
      <c r="M1702" s="796">
        <f t="shared" si="324"/>
        <v>0</v>
      </c>
      <c r="N1702" s="797"/>
      <c r="O1702" s="796">
        <f t="shared" si="324"/>
        <v>0</v>
      </c>
      <c r="P1702" s="796">
        <f t="shared" si="324"/>
        <v>46232526</v>
      </c>
      <c r="Q1702" s="796" t="e">
        <f t="shared" si="324"/>
        <v>#REF!</v>
      </c>
      <c r="R1702" s="797" t="e">
        <f t="shared" si="324"/>
        <v>#REF!</v>
      </c>
      <c r="S1702" s="796" t="e">
        <f t="shared" si="324"/>
        <v>#REF!</v>
      </c>
      <c r="T1702" s="84"/>
      <c r="V1702" s="84"/>
      <c r="W1702" s="84"/>
      <c r="X1702" s="1030"/>
      <c r="Y1702" s="1031"/>
      <c r="Z1702" s="1032"/>
      <c r="AA1702" s="1033"/>
      <c r="AB1702" s="84">
        <f t="shared" si="318"/>
        <v>0</v>
      </c>
    </row>
    <row r="1703" spans="1:28" hidden="1" x14ac:dyDescent="0.25">
      <c r="A1703" s="84"/>
      <c r="B1703" s="84"/>
      <c r="C1703" s="84"/>
      <c r="D1703" s="84"/>
      <c r="F1703" s="1046" t="s">
        <v>237</v>
      </c>
      <c r="G1703" s="1023" t="s">
        <v>238</v>
      </c>
      <c r="J1703" s="764" t="e">
        <f>I1703/H1703</f>
        <v>#DIV/0!</v>
      </c>
      <c r="N1703" s="766" t="e">
        <f>M1703/L1703</f>
        <v>#DIV/0!</v>
      </c>
      <c r="R1703" s="766" t="e">
        <f>Q1703/P1703</f>
        <v>#DIV/0!</v>
      </c>
      <c r="S1703" s="796" t="e">
        <f t="shared" ref="S1703:S1716" si="325">SUM(H1703:L1703)</f>
        <v>#DIV/0!</v>
      </c>
      <c r="T1703" s="84"/>
      <c r="V1703" s="84"/>
      <c r="W1703" s="84"/>
      <c r="X1703" s="1030"/>
      <c r="Y1703" s="1031"/>
      <c r="Z1703" s="1032"/>
      <c r="AA1703" s="1033"/>
      <c r="AB1703" s="84">
        <f t="shared" si="318"/>
        <v>0</v>
      </c>
    </row>
    <row r="1704" spans="1:28" hidden="1" x14ac:dyDescent="0.25">
      <c r="A1704" s="84"/>
      <c r="B1704" s="84"/>
      <c r="C1704" s="84"/>
      <c r="D1704" s="84"/>
      <c r="F1704" s="1046" t="s">
        <v>239</v>
      </c>
      <c r="G1704" s="1023" t="s">
        <v>240</v>
      </c>
      <c r="J1704" s="764" t="e">
        <f>I1704/H1704</f>
        <v>#DIV/0!</v>
      </c>
      <c r="N1704" s="766" t="e">
        <f>M1704/L1704</f>
        <v>#DIV/0!</v>
      </c>
      <c r="R1704" s="766" t="e">
        <f>Q1704/P1704</f>
        <v>#DIV/0!</v>
      </c>
      <c r="S1704" s="796" t="e">
        <f t="shared" si="325"/>
        <v>#DIV/0!</v>
      </c>
      <c r="T1704" s="84"/>
      <c r="V1704" s="84"/>
      <c r="W1704" s="84"/>
      <c r="X1704" s="1030"/>
      <c r="Y1704" s="1031"/>
      <c r="Z1704" s="1032"/>
      <c r="AA1704" s="1033"/>
      <c r="AB1704" s="84">
        <f t="shared" si="318"/>
        <v>0</v>
      </c>
    </row>
    <row r="1705" spans="1:28" hidden="1" x14ac:dyDescent="0.25">
      <c r="A1705" s="84"/>
      <c r="B1705" s="84"/>
      <c r="C1705" s="84"/>
      <c r="D1705" s="84"/>
      <c r="F1705" s="1046" t="s">
        <v>241</v>
      </c>
      <c r="G1705" s="1023" t="s">
        <v>242</v>
      </c>
      <c r="H1705" s="763">
        <f>SUM(H1686)</f>
        <v>0</v>
      </c>
      <c r="I1705" s="763">
        <f t="shared" ref="I1705:S1705" si="326">SUM(I1686)</f>
        <v>0</v>
      </c>
      <c r="K1705" s="763">
        <f t="shared" si="326"/>
        <v>0</v>
      </c>
      <c r="L1705" s="765">
        <f t="shared" si="326"/>
        <v>0</v>
      </c>
      <c r="M1705" s="765">
        <f>M1686</f>
        <v>276452.11</v>
      </c>
      <c r="O1705" s="765">
        <f t="shared" si="326"/>
        <v>-276452.11</v>
      </c>
      <c r="P1705" s="765">
        <f t="shared" si="326"/>
        <v>0</v>
      </c>
      <c r="Q1705" s="765">
        <f t="shared" si="326"/>
        <v>276452.11</v>
      </c>
      <c r="R1705" s="766" t="e">
        <f>Q1705/P1705</f>
        <v>#DIV/0!</v>
      </c>
      <c r="S1705" s="796">
        <f t="shared" si="326"/>
        <v>-276452.11</v>
      </c>
      <c r="T1705" s="84"/>
      <c r="V1705" s="84"/>
      <c r="W1705" s="84"/>
      <c r="X1705" s="1030"/>
      <c r="Y1705" s="1031"/>
      <c r="Z1705" s="1032"/>
      <c r="AA1705" s="1033"/>
      <c r="AB1705" s="84">
        <f t="shared" si="318"/>
        <v>0</v>
      </c>
    </row>
    <row r="1706" spans="1:28" hidden="1" x14ac:dyDescent="0.25">
      <c r="A1706" s="84"/>
      <c r="B1706" s="84"/>
      <c r="C1706" s="84"/>
      <c r="D1706" s="84"/>
      <c r="F1706" s="1046" t="s">
        <v>243</v>
      </c>
      <c r="G1706" s="1023" t="s">
        <v>244</v>
      </c>
      <c r="N1706" s="766" t="e">
        <f>M1706/L1706</f>
        <v>#DIV/0!</v>
      </c>
      <c r="R1706" s="766" t="e">
        <f>Q1706/P1706</f>
        <v>#DIV/0!</v>
      </c>
      <c r="S1706" s="796">
        <f t="shared" si="325"/>
        <v>0</v>
      </c>
      <c r="T1706" s="84"/>
      <c r="V1706" s="84"/>
      <c r="W1706" s="84"/>
      <c r="X1706" s="1030"/>
      <c r="Y1706" s="1031"/>
      <c r="Z1706" s="1032"/>
      <c r="AA1706" s="1033"/>
      <c r="AB1706" s="84">
        <f t="shared" si="318"/>
        <v>0</v>
      </c>
    </row>
    <row r="1707" spans="1:28" hidden="1" x14ac:dyDescent="0.25">
      <c r="A1707" s="84"/>
      <c r="B1707" s="84"/>
      <c r="C1707" s="84"/>
      <c r="D1707" s="84"/>
      <c r="F1707" s="1046" t="s">
        <v>245</v>
      </c>
      <c r="G1707" s="1023" t="s">
        <v>246</v>
      </c>
      <c r="N1707" s="766" t="e">
        <f>M1707/L1707</f>
        <v>#DIV/0!</v>
      </c>
      <c r="R1707" s="766" t="e">
        <f>Q1707/P1707</f>
        <v>#DIV/0!</v>
      </c>
      <c r="S1707" s="796">
        <f t="shared" si="325"/>
        <v>0</v>
      </c>
      <c r="T1707" s="84"/>
      <c r="V1707" s="84"/>
      <c r="W1707" s="84"/>
      <c r="X1707" s="1030"/>
      <c r="Y1707" s="1031"/>
      <c r="Z1707" s="1032"/>
      <c r="AA1707" s="1033"/>
      <c r="AB1707" s="84">
        <f t="shared" si="318"/>
        <v>0</v>
      </c>
    </row>
    <row r="1708" spans="1:28" x14ac:dyDescent="0.25">
      <c r="A1708" s="84"/>
      <c r="B1708" s="84"/>
      <c r="C1708" s="84"/>
      <c r="D1708" s="84"/>
      <c r="F1708" s="1046" t="s">
        <v>247</v>
      </c>
      <c r="G1708" s="1023" t="s">
        <v>4745</v>
      </c>
      <c r="H1708" s="763">
        <f>H1689</f>
        <v>0</v>
      </c>
      <c r="I1708" s="763">
        <f t="shared" ref="I1708:S1708" si="327">I1689</f>
        <v>0</v>
      </c>
      <c r="K1708" s="763">
        <f t="shared" si="327"/>
        <v>0</v>
      </c>
      <c r="L1708" s="765">
        <f t="shared" si="327"/>
        <v>10620355</v>
      </c>
      <c r="M1708" s="765">
        <f>M1689</f>
        <v>8164278.21</v>
      </c>
      <c r="N1708" s="766">
        <f t="shared" si="327"/>
        <v>0.76873872954340983</v>
      </c>
      <c r="O1708" s="765">
        <f t="shared" si="327"/>
        <v>2456076.79</v>
      </c>
      <c r="P1708" s="765">
        <f t="shared" si="327"/>
        <v>10620355</v>
      </c>
      <c r="Q1708" s="765">
        <f t="shared" si="327"/>
        <v>8164278.21</v>
      </c>
      <c r="R1708" s="766">
        <f t="shared" si="327"/>
        <v>0.76873872954340983</v>
      </c>
      <c r="S1708" s="796">
        <f t="shared" si="327"/>
        <v>2456076.79</v>
      </c>
      <c r="T1708" s="84"/>
      <c r="V1708" s="84"/>
      <c r="W1708" s="84"/>
      <c r="X1708" s="1030"/>
      <c r="Y1708" s="1031"/>
      <c r="Z1708" s="1032"/>
      <c r="AA1708" s="1033"/>
      <c r="AB1708" s="84">
        <f t="shared" si="318"/>
        <v>0</v>
      </c>
    </row>
    <row r="1709" spans="1:28" ht="30" hidden="1" x14ac:dyDescent="0.25">
      <c r="A1709" s="84"/>
      <c r="B1709" s="84"/>
      <c r="C1709" s="84"/>
      <c r="D1709" s="84"/>
      <c r="F1709" s="1046" t="s">
        <v>248</v>
      </c>
      <c r="G1709" s="1023" t="s">
        <v>4744</v>
      </c>
      <c r="S1709" s="796">
        <f t="shared" si="325"/>
        <v>0</v>
      </c>
      <c r="T1709" s="84"/>
      <c r="V1709" s="84"/>
      <c r="W1709" s="84"/>
      <c r="X1709" s="1030"/>
      <c r="Y1709" s="1031"/>
      <c r="Z1709" s="1032"/>
      <c r="AA1709" s="1033"/>
      <c r="AB1709" s="84">
        <f t="shared" si="318"/>
        <v>0</v>
      </c>
    </row>
    <row r="1710" spans="1:28" hidden="1" x14ac:dyDescent="0.25">
      <c r="A1710" s="84"/>
      <c r="B1710" s="84"/>
      <c r="C1710" s="84"/>
      <c r="D1710" s="84"/>
      <c r="F1710" s="1046" t="s">
        <v>249</v>
      </c>
      <c r="G1710" s="1023" t="s">
        <v>58</v>
      </c>
      <c r="S1710" s="796">
        <f t="shared" si="325"/>
        <v>0</v>
      </c>
      <c r="T1710" s="84"/>
      <c r="V1710" s="84"/>
      <c r="W1710" s="84"/>
      <c r="X1710" s="1030"/>
      <c r="Y1710" s="1031"/>
      <c r="Z1710" s="1032"/>
      <c r="AA1710" s="1033"/>
      <c r="AB1710" s="84">
        <f t="shared" si="318"/>
        <v>0</v>
      </c>
    </row>
    <row r="1711" spans="1:28" hidden="1" x14ac:dyDescent="0.25">
      <c r="A1711" s="84"/>
      <c r="B1711" s="84"/>
      <c r="C1711" s="84"/>
      <c r="D1711" s="84"/>
      <c r="F1711" s="1046" t="s">
        <v>250</v>
      </c>
      <c r="G1711" s="1023" t="s">
        <v>251</v>
      </c>
      <c r="S1711" s="796">
        <f t="shared" si="325"/>
        <v>0</v>
      </c>
      <c r="T1711" s="84"/>
      <c r="V1711" s="84"/>
      <c r="W1711" s="84"/>
      <c r="X1711" s="1030"/>
      <c r="Y1711" s="1031"/>
      <c r="Z1711" s="1032"/>
      <c r="AA1711" s="1033"/>
      <c r="AB1711" s="84">
        <f t="shared" si="318"/>
        <v>0</v>
      </c>
    </row>
    <row r="1712" spans="1:28" hidden="1" x14ac:dyDescent="0.25">
      <c r="F1712" s="1046" t="s">
        <v>252</v>
      </c>
      <c r="G1712" s="1023" t="s">
        <v>253</v>
      </c>
      <c r="S1712" s="796">
        <f t="shared" si="325"/>
        <v>0</v>
      </c>
      <c r="T1712" s="84"/>
      <c r="V1712" s="84"/>
      <c r="W1712" s="84"/>
      <c r="X1712" s="1030"/>
      <c r="Y1712" s="1031"/>
      <c r="Z1712" s="1032"/>
      <c r="AA1712" s="1033"/>
      <c r="AB1712" s="84">
        <f t="shared" si="318"/>
        <v>0</v>
      </c>
    </row>
    <row r="1713" spans="1:31" ht="30" hidden="1" x14ac:dyDescent="0.25">
      <c r="F1713" s="1046" t="s">
        <v>254</v>
      </c>
      <c r="G1713" s="1023" t="s">
        <v>255</v>
      </c>
      <c r="S1713" s="796">
        <f t="shared" si="325"/>
        <v>0</v>
      </c>
      <c r="T1713" s="84"/>
      <c r="V1713" s="84"/>
      <c r="W1713" s="84"/>
      <c r="X1713" s="1030"/>
      <c r="Y1713" s="1031"/>
      <c r="Z1713" s="1032"/>
      <c r="AA1713" s="1033"/>
      <c r="AB1713" s="84">
        <f t="shared" si="318"/>
        <v>0</v>
      </c>
    </row>
    <row r="1714" spans="1:31" x14ac:dyDescent="0.25">
      <c r="F1714" s="1046" t="s">
        <v>256</v>
      </c>
      <c r="G1714" s="1023" t="s">
        <v>257</v>
      </c>
      <c r="H1714" s="763">
        <f>H1695</f>
        <v>0</v>
      </c>
      <c r="I1714" s="763">
        <f t="shared" ref="I1714:S1714" si="328">I1695</f>
        <v>0</v>
      </c>
      <c r="K1714" s="763">
        <f t="shared" si="328"/>
        <v>0</v>
      </c>
      <c r="L1714" s="765">
        <f t="shared" si="328"/>
        <v>17788.73</v>
      </c>
      <c r="M1714" s="765">
        <f>M1695</f>
        <v>997391.63</v>
      </c>
      <c r="N1714" s="766">
        <f t="shared" si="328"/>
        <v>56.068737341001864</v>
      </c>
      <c r="O1714" s="765">
        <f t="shared" si="328"/>
        <v>-979602.9</v>
      </c>
      <c r="P1714" s="765">
        <f t="shared" si="328"/>
        <v>17788.73</v>
      </c>
      <c r="Q1714" s="765">
        <f t="shared" si="328"/>
        <v>997391.63</v>
      </c>
      <c r="R1714" s="766">
        <f t="shared" si="328"/>
        <v>0</v>
      </c>
      <c r="S1714" s="796">
        <f t="shared" si="328"/>
        <v>-979602.9</v>
      </c>
      <c r="T1714" s="84"/>
      <c r="V1714" s="84"/>
      <c r="W1714" s="84"/>
      <c r="X1714" s="1030"/>
      <c r="Y1714" s="1031"/>
      <c r="Z1714" s="1032"/>
      <c r="AA1714" s="1033"/>
      <c r="AB1714" s="84">
        <f t="shared" si="318"/>
        <v>0</v>
      </c>
    </row>
    <row r="1715" spans="1:31" ht="30" hidden="1" x14ac:dyDescent="0.25">
      <c r="F1715" s="1046" t="s">
        <v>258</v>
      </c>
      <c r="G1715" s="1023" t="s">
        <v>259</v>
      </c>
      <c r="S1715" s="796">
        <f t="shared" si="325"/>
        <v>0</v>
      </c>
      <c r="T1715" s="84"/>
      <c r="V1715" s="84"/>
      <c r="W1715" s="84"/>
      <c r="X1715" s="1030"/>
      <c r="Y1715" s="1031"/>
      <c r="Z1715" s="1032"/>
      <c r="AA1715" s="1033"/>
      <c r="AB1715" s="84">
        <f t="shared" si="318"/>
        <v>0</v>
      </c>
    </row>
    <row r="1716" spans="1:31" ht="30" hidden="1" x14ac:dyDescent="0.25">
      <c r="F1716" s="1046" t="s">
        <v>260</v>
      </c>
      <c r="G1716" s="1023" t="s">
        <v>261</v>
      </c>
      <c r="S1716" s="796">
        <f t="shared" si="325"/>
        <v>0</v>
      </c>
      <c r="T1716" s="84"/>
      <c r="V1716" s="84"/>
      <c r="W1716" s="84"/>
      <c r="X1716" s="1030"/>
      <c r="Y1716" s="1031"/>
      <c r="Z1716" s="1032"/>
      <c r="AA1716" s="1033"/>
      <c r="AB1716" s="84">
        <f t="shared" si="318"/>
        <v>0</v>
      </c>
    </row>
    <row r="1717" spans="1:31" ht="15.75" thickBot="1" x14ac:dyDescent="0.3">
      <c r="F1717" s="1046" t="s">
        <v>262</v>
      </c>
      <c r="G1717" s="1023" t="s">
        <v>263</v>
      </c>
      <c r="H1717" s="794">
        <f>H1698</f>
        <v>0</v>
      </c>
      <c r="I1717" s="794">
        <f t="shared" ref="I1717:S1717" si="329">I1698</f>
        <v>0</v>
      </c>
      <c r="J1717" s="795"/>
      <c r="K1717" s="794">
        <f t="shared" si="329"/>
        <v>0</v>
      </c>
      <c r="L1717" s="796">
        <f t="shared" si="329"/>
        <v>1327000</v>
      </c>
      <c r="M1717" s="796">
        <f>M1698</f>
        <v>876797.64</v>
      </c>
      <c r="N1717" s="797">
        <f t="shared" si="329"/>
        <v>0.66073672946495854</v>
      </c>
      <c r="O1717" s="796">
        <f t="shared" si="329"/>
        <v>450202.36</v>
      </c>
      <c r="P1717" s="796">
        <f t="shared" si="329"/>
        <v>1327000</v>
      </c>
      <c r="Q1717" s="796">
        <f t="shared" si="329"/>
        <v>876797.64</v>
      </c>
      <c r="R1717" s="797">
        <f t="shared" si="329"/>
        <v>0.66073672946495854</v>
      </c>
      <c r="S1717" s="796">
        <f t="shared" si="329"/>
        <v>450202.36</v>
      </c>
      <c r="T1717" s="84"/>
      <c r="V1717" s="84"/>
      <c r="W1717" s="84"/>
      <c r="X1717" s="1030"/>
      <c r="Y1717" s="1031"/>
      <c r="Z1717" s="1032"/>
      <c r="AA1717" s="1033"/>
      <c r="AB1717" s="84">
        <f t="shared" si="318"/>
        <v>0</v>
      </c>
    </row>
    <row r="1718" spans="1:31" ht="15.75" thickBot="1" x14ac:dyDescent="0.3">
      <c r="G1718" s="798" t="s">
        <v>5021</v>
      </c>
      <c r="H1718" s="799">
        <f>H1699</f>
        <v>46232526</v>
      </c>
      <c r="I1718" s="799" t="e">
        <f t="shared" ref="I1718:S1718" si="330">I1699</f>
        <v>#REF!</v>
      </c>
      <c r="J1718" s="800" t="e">
        <f t="shared" si="330"/>
        <v>#REF!</v>
      </c>
      <c r="K1718" s="799" t="e">
        <f t="shared" si="330"/>
        <v>#REF!</v>
      </c>
      <c r="L1718" s="801">
        <f t="shared" si="330"/>
        <v>11965143.73</v>
      </c>
      <c r="M1718" s="801">
        <f t="shared" si="330"/>
        <v>10314919.590000002</v>
      </c>
      <c r="N1718" s="802">
        <f t="shared" si="330"/>
        <v>0.8620807089962137</v>
      </c>
      <c r="O1718" s="801">
        <f t="shared" si="330"/>
        <v>1650224.1400000001</v>
      </c>
      <c r="P1718" s="801">
        <f>P1699</f>
        <v>58197669.729999997</v>
      </c>
      <c r="Q1718" s="801" t="e">
        <f t="shared" si="330"/>
        <v>#REF!</v>
      </c>
      <c r="R1718" s="802">
        <f t="shared" si="330"/>
        <v>0.83933334473046795</v>
      </c>
      <c r="S1718" s="801" t="e">
        <f t="shared" si="330"/>
        <v>#REF!</v>
      </c>
      <c r="T1718" s="84"/>
      <c r="V1718" s="84"/>
      <c r="W1718" s="84"/>
      <c r="X1718" s="1030"/>
      <c r="Y1718" s="1031"/>
      <c r="Z1718" s="1032"/>
      <c r="AA1718" s="1033"/>
      <c r="AB1718" s="84">
        <f t="shared" si="318"/>
        <v>0</v>
      </c>
    </row>
    <row r="1719" spans="1:31" x14ac:dyDescent="0.25">
      <c r="A1719" s="1059"/>
      <c r="B1719" s="1060"/>
      <c r="C1719" s="1061"/>
      <c r="D1719" s="1059"/>
      <c r="E1719" s="1060"/>
      <c r="F1719" s="1059"/>
      <c r="G1719" s="1062"/>
      <c r="H1719" s="1063"/>
      <c r="I1719" s="1063"/>
      <c r="J1719" s="1064"/>
      <c r="K1719" s="1063"/>
      <c r="L1719" s="776"/>
      <c r="M1719" s="776"/>
      <c r="N1719" s="777"/>
      <c r="O1719" s="776"/>
      <c r="P1719" s="776"/>
      <c r="Q1719" s="776"/>
      <c r="R1719" s="777"/>
      <c r="S1719" s="776"/>
      <c r="T1719" s="84"/>
      <c r="AB1719" s="84">
        <f t="shared" si="318"/>
        <v>0</v>
      </c>
    </row>
    <row r="1720" spans="1:31" hidden="1" x14ac:dyDescent="0.25">
      <c r="G1720" s="811"/>
      <c r="H1720" s="812"/>
      <c r="I1720" s="812"/>
      <c r="J1720" s="813"/>
      <c r="K1720" s="812"/>
      <c r="L1720" s="814"/>
      <c r="M1720" s="814"/>
      <c r="N1720" s="815"/>
      <c r="O1720" s="814"/>
      <c r="P1720" s="814"/>
      <c r="Q1720" s="814"/>
      <c r="R1720" s="815"/>
      <c r="S1720" s="814"/>
      <c r="AB1720" s="84">
        <f t="shared" si="318"/>
        <v>0</v>
      </c>
    </row>
    <row r="1721" spans="1:31" ht="28.5" x14ac:dyDescent="0.25">
      <c r="A1721" s="862"/>
      <c r="B1721" s="860" t="s">
        <v>5011</v>
      </c>
      <c r="C1721" s="861"/>
      <c r="D1721" s="862"/>
      <c r="E1721" s="863"/>
      <c r="F1721" s="862"/>
      <c r="G1721" s="1067" t="s">
        <v>4800</v>
      </c>
      <c r="H1721" s="1068"/>
      <c r="I1721" s="1068"/>
      <c r="J1721" s="1069"/>
      <c r="K1721" s="1068"/>
      <c r="L1721" s="1070"/>
      <c r="M1721" s="1070"/>
      <c r="N1721" s="1071"/>
      <c r="O1721" s="1070"/>
      <c r="P1721" s="1070"/>
      <c r="Q1721" s="1070"/>
      <c r="R1721" s="1071"/>
      <c r="S1721" s="1070"/>
      <c r="AB1721" s="84">
        <f t="shared" ref="AB1721:AB1820" si="331">Z1721-AA1721</f>
        <v>0</v>
      </c>
    </row>
    <row r="1722" spans="1:31" x14ac:dyDescent="0.25">
      <c r="C1722" s="761" t="s">
        <v>3603</v>
      </c>
      <c r="G1722" s="985" t="s">
        <v>4149</v>
      </c>
      <c r="AB1722" s="84">
        <f t="shared" si="331"/>
        <v>0</v>
      </c>
    </row>
    <row r="1723" spans="1:31" x14ac:dyDescent="0.25">
      <c r="C1723" s="761" t="s">
        <v>4086</v>
      </c>
      <c r="D1723" s="770"/>
      <c r="G1723" s="869" t="s">
        <v>3664</v>
      </c>
      <c r="AB1723" s="84">
        <f t="shared" si="331"/>
        <v>0</v>
      </c>
    </row>
    <row r="1724" spans="1:31" s="972" customFormat="1" ht="30" x14ac:dyDescent="0.25">
      <c r="A1724" s="767"/>
      <c r="B1724" s="768"/>
      <c r="C1724" s="968"/>
      <c r="D1724" s="986" t="s">
        <v>3900</v>
      </c>
      <c r="E1724" s="986"/>
      <c r="F1724" s="987"/>
      <c r="G1724" s="988" t="s">
        <v>119</v>
      </c>
      <c r="H1724" s="774"/>
      <c r="I1724" s="774"/>
      <c r="J1724" s="775"/>
      <c r="K1724" s="774"/>
      <c r="L1724" s="776"/>
      <c r="M1724" s="776"/>
      <c r="N1724" s="777"/>
      <c r="O1724" s="776"/>
      <c r="P1724" s="776"/>
      <c r="Q1724" s="776"/>
      <c r="R1724" s="777"/>
      <c r="S1724" s="970"/>
      <c r="T1724" s="971"/>
      <c r="V1724" s="973"/>
      <c r="W1724" s="973"/>
      <c r="X1724" s="833"/>
      <c r="Y1724" s="834"/>
      <c r="Z1724" s="830"/>
      <c r="AA1724" s="831"/>
      <c r="AB1724" s="972">
        <f t="shared" si="331"/>
        <v>0</v>
      </c>
    </row>
    <row r="1725" spans="1:31" s="972" customFormat="1" x14ac:dyDescent="0.25">
      <c r="A1725" s="989"/>
      <c r="B1725" s="976"/>
      <c r="C1725" s="990"/>
      <c r="D1725" s="976"/>
      <c r="E1725" s="976" t="s">
        <v>3894</v>
      </c>
      <c r="F1725" s="989">
        <v>421</v>
      </c>
      <c r="G1725" s="991" t="s">
        <v>3781</v>
      </c>
      <c r="H1725" s="774">
        <v>1858850</v>
      </c>
      <c r="I1725" s="774">
        <f>766552.47+247846.88</f>
        <v>1014399.35</v>
      </c>
      <c r="J1725" s="775">
        <f>I1725/H1725</f>
        <v>0.54571339806869834</v>
      </c>
      <c r="K1725" s="774">
        <f>H1725-I1725</f>
        <v>844450.65</v>
      </c>
      <c r="L1725" s="776">
        <v>0</v>
      </c>
      <c r="M1725" s="776">
        <v>0</v>
      </c>
      <c r="N1725" s="777" t="e">
        <f>M1725/L1725</f>
        <v>#DIV/0!</v>
      </c>
      <c r="O1725" s="776">
        <f>L1725-M1725</f>
        <v>0</v>
      </c>
      <c r="P1725" s="776">
        <f t="shared" ref="P1725:Q1728" si="332">L1725+H1725</f>
        <v>1858850</v>
      </c>
      <c r="Q1725" s="776">
        <f>M1725+I1725</f>
        <v>1014399.35</v>
      </c>
      <c r="R1725" s="777">
        <f>Q1725/P1725</f>
        <v>0.54571339806869834</v>
      </c>
      <c r="S1725" s="970">
        <f>P1725-Q1725</f>
        <v>844450.65</v>
      </c>
      <c r="T1725" s="971"/>
      <c r="V1725" s="973"/>
      <c r="W1725" s="973"/>
      <c r="X1725" s="833"/>
      <c r="Y1725" s="834">
        <v>100000</v>
      </c>
      <c r="Z1725" s="830">
        <f>H1725-X1725+Y1725</f>
        <v>1958850</v>
      </c>
      <c r="AA1725" s="831">
        <v>1098000</v>
      </c>
      <c r="AB1725" s="972">
        <f t="shared" si="331"/>
        <v>860850</v>
      </c>
      <c r="AE1725" s="972">
        <f>H1725-AA1725</f>
        <v>760850</v>
      </c>
    </row>
    <row r="1726" spans="1:31" s="972" customFormat="1" hidden="1" x14ac:dyDescent="0.25">
      <c r="A1726" s="989"/>
      <c r="B1726" s="976"/>
      <c r="C1726" s="990"/>
      <c r="D1726" s="976"/>
      <c r="E1726" s="976"/>
      <c r="F1726" s="989">
        <v>423</v>
      </c>
      <c r="G1726" s="991" t="s">
        <v>3783</v>
      </c>
      <c r="H1726" s="774">
        <v>0</v>
      </c>
      <c r="I1726" s="774">
        <f>750302.39+74625.92</f>
        <v>824928.31</v>
      </c>
      <c r="J1726" s="775" t="e">
        <f>I1726/H1726</f>
        <v>#DIV/0!</v>
      </c>
      <c r="K1726" s="774">
        <f>H1726-I1726</f>
        <v>-824928.31</v>
      </c>
      <c r="L1726" s="776">
        <v>0</v>
      </c>
      <c r="M1726" s="776">
        <v>0</v>
      </c>
      <c r="N1726" s="777"/>
      <c r="O1726" s="776">
        <f>L1726-M1726</f>
        <v>0</v>
      </c>
      <c r="P1726" s="776">
        <f t="shared" si="332"/>
        <v>0</v>
      </c>
      <c r="Q1726" s="776">
        <f t="shared" si="332"/>
        <v>824928.31</v>
      </c>
      <c r="R1726" s="777" t="e">
        <f>Q1726/P1726</f>
        <v>#DIV/0!</v>
      </c>
      <c r="S1726" s="970">
        <f>P1726-Q1726</f>
        <v>-824928.31</v>
      </c>
      <c r="T1726" s="971"/>
      <c r="V1726" s="973"/>
      <c r="W1726" s="973"/>
      <c r="X1726" s="833"/>
      <c r="Y1726" s="834">
        <v>300000</v>
      </c>
      <c r="Z1726" s="830">
        <f>H1726-X1726+Y1726</f>
        <v>300000</v>
      </c>
      <c r="AA1726" s="831">
        <v>552000</v>
      </c>
      <c r="AB1726" s="972">
        <f t="shared" si="331"/>
        <v>-252000</v>
      </c>
      <c r="AE1726" s="972">
        <f>H1726-AA1726</f>
        <v>-552000</v>
      </c>
    </row>
    <row r="1727" spans="1:31" s="972" customFormat="1" hidden="1" x14ac:dyDescent="0.25">
      <c r="A1727" s="989"/>
      <c r="B1727" s="976"/>
      <c r="C1727" s="990"/>
      <c r="D1727" s="976"/>
      <c r="E1727" s="976"/>
      <c r="F1727" s="989">
        <v>425</v>
      </c>
      <c r="G1727" s="991" t="s">
        <v>4127</v>
      </c>
      <c r="H1727" s="774">
        <v>0</v>
      </c>
      <c r="I1727" s="774">
        <v>1012512</v>
      </c>
      <c r="J1727" s="775" t="e">
        <f>I1727/H1727</f>
        <v>#DIV/0!</v>
      </c>
      <c r="K1727" s="774">
        <f>H1727-I1727</f>
        <v>-1012512</v>
      </c>
      <c r="L1727" s="776">
        <v>0</v>
      </c>
      <c r="M1727" s="776">
        <v>0</v>
      </c>
      <c r="N1727" s="777"/>
      <c r="O1727" s="776">
        <v>0</v>
      </c>
      <c r="P1727" s="776">
        <f>L1727+H1727</f>
        <v>0</v>
      </c>
      <c r="Q1727" s="776">
        <f>M1727+I1727</f>
        <v>1012512</v>
      </c>
      <c r="R1727" s="777" t="e">
        <f>Q1727/P1727</f>
        <v>#DIV/0!</v>
      </c>
      <c r="S1727" s="970">
        <f>P1727-Q1727</f>
        <v>-1012512</v>
      </c>
      <c r="T1727" s="971"/>
      <c r="V1727" s="973"/>
      <c r="W1727" s="973"/>
      <c r="X1727" s="833"/>
      <c r="Y1727" s="834">
        <v>950000</v>
      </c>
      <c r="Z1727" s="830">
        <f>H1727-X1727+Y1727</f>
        <v>950000</v>
      </c>
      <c r="AA1727" s="831">
        <v>1935061.4</v>
      </c>
      <c r="AB1727" s="972">
        <f t="shared" si="331"/>
        <v>-985061.39999999991</v>
      </c>
      <c r="AE1727" s="972">
        <f>H1727-AA1727</f>
        <v>-1935061.4</v>
      </c>
    </row>
    <row r="1728" spans="1:31" ht="15.75" thickBot="1" x14ac:dyDescent="0.3">
      <c r="E1728" s="760" t="s">
        <v>3895</v>
      </c>
      <c r="F1728" s="782">
        <v>426</v>
      </c>
      <c r="G1728" s="874" t="s">
        <v>3789</v>
      </c>
      <c r="H1728" s="763">
        <v>140000</v>
      </c>
      <c r="I1728" s="763">
        <f>2874662.36</f>
        <v>2874662.36</v>
      </c>
      <c r="J1728" s="764">
        <f>I1728/H1728</f>
        <v>20.533302571428571</v>
      </c>
      <c r="K1728" s="763">
        <f>H1728-I1728</f>
        <v>-2734662.36</v>
      </c>
      <c r="L1728" s="765">
        <v>0</v>
      </c>
      <c r="M1728" s="765">
        <v>0</v>
      </c>
      <c r="O1728" s="765">
        <f>L1728-M1728</f>
        <v>0</v>
      </c>
      <c r="P1728" s="765">
        <f t="shared" si="332"/>
        <v>140000</v>
      </c>
      <c r="Q1728" s="765">
        <f t="shared" si="332"/>
        <v>2874662.36</v>
      </c>
      <c r="R1728" s="766">
        <f>Q1728/P1728</f>
        <v>20.533302571428571</v>
      </c>
      <c r="S1728" s="765">
        <f>P1728-Q1728</f>
        <v>-2734662.36</v>
      </c>
      <c r="V1728" s="203">
        <f>490000+24662.36+240000</f>
        <v>754662.36</v>
      </c>
      <c r="Y1728" s="834">
        <v>520000</v>
      </c>
      <c r="Z1728" s="830">
        <f>H1728-X1728+Y1728</f>
        <v>660000</v>
      </c>
      <c r="AA1728" s="831">
        <v>2850000</v>
      </c>
      <c r="AB1728" s="84">
        <f t="shared" si="331"/>
        <v>-2190000</v>
      </c>
      <c r="AE1728" s="84">
        <f>H1728-AA1728</f>
        <v>-2710000</v>
      </c>
    </row>
    <row r="1729" spans="1:31" ht="15.75" hidden="1" thickBot="1" x14ac:dyDescent="0.3">
      <c r="F1729" s="782">
        <v>483</v>
      </c>
      <c r="G1729" s="874" t="s">
        <v>4138</v>
      </c>
      <c r="H1729" s="763">
        <v>0</v>
      </c>
      <c r="I1729" s="763">
        <v>0</v>
      </c>
      <c r="K1729" s="763">
        <f>H1729-I1729</f>
        <v>0</v>
      </c>
      <c r="L1729" s="765">
        <v>0</v>
      </c>
      <c r="M1729" s="765">
        <v>0</v>
      </c>
      <c r="O1729" s="765">
        <v>0</v>
      </c>
      <c r="P1729" s="765">
        <f>L1729+H1729</f>
        <v>0</v>
      </c>
      <c r="Q1729" s="765">
        <f>M1729+I1729</f>
        <v>0</v>
      </c>
      <c r="S1729" s="765">
        <f>P1729-Q1729</f>
        <v>0</v>
      </c>
      <c r="X1729" s="833">
        <v>50000</v>
      </c>
      <c r="Z1729" s="830">
        <f>H1729-X1729+Y1729</f>
        <v>-50000</v>
      </c>
      <c r="AA1729" s="831">
        <v>50000</v>
      </c>
      <c r="AB1729" s="84">
        <f t="shared" si="331"/>
        <v>-100000</v>
      </c>
      <c r="AE1729" s="84">
        <f>H1729-AA1729</f>
        <v>-50000</v>
      </c>
    </row>
    <row r="1730" spans="1:31" x14ac:dyDescent="0.25">
      <c r="E1730" s="784"/>
      <c r="F1730" s="785"/>
      <c r="G1730" s="786" t="s">
        <v>4801</v>
      </c>
      <c r="H1730" s="787"/>
      <c r="I1730" s="787"/>
      <c r="J1730" s="788"/>
      <c r="K1730" s="787"/>
      <c r="L1730" s="789"/>
      <c r="M1730" s="789"/>
      <c r="N1730" s="790"/>
      <c r="O1730" s="789"/>
      <c r="P1730" s="789"/>
      <c r="Q1730" s="789"/>
      <c r="R1730" s="790"/>
      <c r="S1730" s="877"/>
      <c r="AB1730" s="84">
        <f t="shared" si="331"/>
        <v>0</v>
      </c>
    </row>
    <row r="1731" spans="1:31" x14ac:dyDescent="0.25">
      <c r="E1731" s="791"/>
      <c r="F1731" s="792" t="s">
        <v>235</v>
      </c>
      <c r="G1731" s="793" t="s">
        <v>236</v>
      </c>
      <c r="H1731" s="794">
        <f>SUM(H1725:H1729)</f>
        <v>1998850</v>
      </c>
      <c r="I1731" s="794">
        <f>SUM(I1725:I1729)</f>
        <v>5726502.0199999996</v>
      </c>
      <c r="J1731" s="795">
        <f>I1731/H1731</f>
        <v>2.8648983265377588</v>
      </c>
      <c r="K1731" s="794">
        <f>H1731-I1731</f>
        <v>-3727652.0199999996</v>
      </c>
      <c r="L1731" s="796">
        <v>0</v>
      </c>
      <c r="M1731" s="796">
        <v>0</v>
      </c>
      <c r="N1731" s="797"/>
      <c r="O1731" s="796">
        <f>L1731-M1731</f>
        <v>0</v>
      </c>
      <c r="P1731" s="796">
        <f t="shared" ref="P1731:Q1733" si="333">L1731+H1731</f>
        <v>1998850</v>
      </c>
      <c r="Q1731" s="796">
        <f t="shared" si="333"/>
        <v>5726502.0199999996</v>
      </c>
      <c r="R1731" s="797">
        <f>Q1731/P1731</f>
        <v>2.8648983265377588</v>
      </c>
      <c r="S1731" s="796">
        <f>P1731-Q1731</f>
        <v>-3727652.0199999996</v>
      </c>
      <c r="AB1731" s="84">
        <f t="shared" si="331"/>
        <v>0</v>
      </c>
    </row>
    <row r="1732" spans="1:31" ht="15.75" thickBot="1" x14ac:dyDescent="0.3">
      <c r="E1732" s="791"/>
      <c r="F1732" s="792">
        <v>13</v>
      </c>
      <c r="G1732" s="793" t="s">
        <v>257</v>
      </c>
      <c r="H1732" s="794">
        <v>0</v>
      </c>
      <c r="I1732" s="794">
        <v>0</v>
      </c>
      <c r="J1732" s="795"/>
      <c r="K1732" s="794">
        <v>0</v>
      </c>
      <c r="L1732" s="796">
        <f>L1728</f>
        <v>0</v>
      </c>
      <c r="M1732" s="796">
        <f>SUM(M1725:M1729)</f>
        <v>0</v>
      </c>
      <c r="N1732" s="797" t="e">
        <f>M1732/L1732</f>
        <v>#DIV/0!</v>
      </c>
      <c r="O1732" s="796">
        <f>L1732-M1732</f>
        <v>0</v>
      </c>
      <c r="P1732" s="796">
        <f t="shared" si="333"/>
        <v>0</v>
      </c>
      <c r="Q1732" s="796">
        <f t="shared" si="333"/>
        <v>0</v>
      </c>
      <c r="R1732" s="797" t="e">
        <f>Q1732/P1732</f>
        <v>#DIV/0!</v>
      </c>
      <c r="S1732" s="796">
        <f>P1732-Q1732</f>
        <v>0</v>
      </c>
      <c r="AB1732" s="84">
        <f t="shared" si="331"/>
        <v>0</v>
      </c>
    </row>
    <row r="1733" spans="1:31" ht="15.75" thickBot="1" x14ac:dyDescent="0.3">
      <c r="G1733" s="798" t="s">
        <v>4802</v>
      </c>
      <c r="H1733" s="799">
        <f>SUM(H1731:H1732)</f>
        <v>1998850</v>
      </c>
      <c r="I1733" s="799">
        <f>SUM(I1731:I1732)</f>
        <v>5726502.0199999996</v>
      </c>
      <c r="J1733" s="800">
        <f>I1733/H1733</f>
        <v>2.8648983265377588</v>
      </c>
      <c r="K1733" s="799">
        <f>SUM(K1731:K1732)</f>
        <v>-3727652.0199999996</v>
      </c>
      <c r="L1733" s="801">
        <f>SUM(L1731:L1732)</f>
        <v>0</v>
      </c>
      <c r="M1733" s="801">
        <f>SUM(M1731:M1732)</f>
        <v>0</v>
      </c>
      <c r="N1733" s="802"/>
      <c r="O1733" s="801">
        <f>L1733-M1733</f>
        <v>0</v>
      </c>
      <c r="P1733" s="801">
        <f t="shared" si="333"/>
        <v>1998850</v>
      </c>
      <c r="Q1733" s="801">
        <f t="shared" si="333"/>
        <v>5726502.0199999996</v>
      </c>
      <c r="R1733" s="802">
        <f>Q1733/P1733</f>
        <v>2.8648983265377588</v>
      </c>
      <c r="S1733" s="801">
        <f>P1733-Q1733</f>
        <v>-3727652.0199999996</v>
      </c>
      <c r="AB1733" s="84">
        <f t="shared" si="331"/>
        <v>0</v>
      </c>
    </row>
    <row r="1734" spans="1:31" ht="28.5" collapsed="1" x14ac:dyDescent="0.25">
      <c r="E1734" s="784"/>
      <c r="F1734" s="785"/>
      <c r="G1734" s="803" t="s">
        <v>4803</v>
      </c>
      <c r="H1734" s="804"/>
      <c r="I1734" s="805"/>
      <c r="J1734" s="806"/>
      <c r="K1734" s="805"/>
      <c r="L1734" s="807"/>
      <c r="M1734" s="808"/>
      <c r="N1734" s="809"/>
      <c r="O1734" s="808"/>
      <c r="P1734" s="808"/>
      <c r="Q1734" s="808"/>
      <c r="R1734" s="809"/>
      <c r="S1734" s="878"/>
      <c r="AB1734" s="84">
        <f t="shared" si="331"/>
        <v>0</v>
      </c>
    </row>
    <row r="1735" spans="1:31" x14ac:dyDescent="0.25">
      <c r="E1735" s="791"/>
      <c r="F1735" s="792" t="s">
        <v>235</v>
      </c>
      <c r="G1735" s="793" t="s">
        <v>236</v>
      </c>
      <c r="H1735" s="794">
        <f>H1731</f>
        <v>1998850</v>
      </c>
      <c r="I1735" s="794">
        <f t="shared" ref="I1735:S1735" si="334">I1731</f>
        <v>5726502.0199999996</v>
      </c>
      <c r="J1735" s="795">
        <f t="shared" si="334"/>
        <v>2.8648983265377588</v>
      </c>
      <c r="K1735" s="794">
        <f t="shared" si="334"/>
        <v>-3727652.0199999996</v>
      </c>
      <c r="L1735" s="796">
        <f t="shared" si="334"/>
        <v>0</v>
      </c>
      <c r="M1735" s="796">
        <f t="shared" si="334"/>
        <v>0</v>
      </c>
      <c r="N1735" s="797">
        <f t="shared" si="334"/>
        <v>0</v>
      </c>
      <c r="O1735" s="796">
        <f t="shared" si="334"/>
        <v>0</v>
      </c>
      <c r="P1735" s="796">
        <f t="shared" si="334"/>
        <v>1998850</v>
      </c>
      <c r="Q1735" s="796">
        <f t="shared" si="334"/>
        <v>5726502.0199999996</v>
      </c>
      <c r="R1735" s="797">
        <f t="shared" si="334"/>
        <v>2.8648983265377588</v>
      </c>
      <c r="S1735" s="796">
        <f t="shared" si="334"/>
        <v>-3727652.0199999996</v>
      </c>
      <c r="AB1735" s="84">
        <f t="shared" si="331"/>
        <v>0</v>
      </c>
    </row>
    <row r="1736" spans="1:31" ht="15.75" thickBot="1" x14ac:dyDescent="0.3">
      <c r="E1736" s="791"/>
      <c r="F1736" s="792">
        <v>13</v>
      </c>
      <c r="G1736" s="793" t="s">
        <v>257</v>
      </c>
      <c r="H1736" s="794">
        <f>H1732</f>
        <v>0</v>
      </c>
      <c r="I1736" s="794">
        <f t="shared" ref="I1736:S1736" si="335">I1732</f>
        <v>0</v>
      </c>
      <c r="J1736" s="795"/>
      <c r="K1736" s="794">
        <f t="shared" si="335"/>
        <v>0</v>
      </c>
      <c r="L1736" s="796">
        <f t="shared" si="335"/>
        <v>0</v>
      </c>
      <c r="M1736" s="796">
        <f t="shared" si="335"/>
        <v>0</v>
      </c>
      <c r="N1736" s="797" t="e">
        <f t="shared" si="335"/>
        <v>#DIV/0!</v>
      </c>
      <c r="O1736" s="796">
        <f t="shared" si="335"/>
        <v>0</v>
      </c>
      <c r="P1736" s="796">
        <f t="shared" si="335"/>
        <v>0</v>
      </c>
      <c r="Q1736" s="796">
        <f t="shared" si="335"/>
        <v>0</v>
      </c>
      <c r="R1736" s="797" t="e">
        <f t="shared" si="335"/>
        <v>#DIV/0!</v>
      </c>
      <c r="S1736" s="796">
        <f t="shared" si="335"/>
        <v>0</v>
      </c>
      <c r="AB1736" s="84">
        <f t="shared" si="331"/>
        <v>0</v>
      </c>
    </row>
    <row r="1737" spans="1:31" ht="15.75" collapsed="1" thickBot="1" x14ac:dyDescent="0.3">
      <c r="G1737" s="798" t="s">
        <v>4804</v>
      </c>
      <c r="H1737" s="799">
        <f>H1733</f>
        <v>1998850</v>
      </c>
      <c r="I1737" s="799">
        <f t="shared" ref="I1737:S1737" si="336">I1733</f>
        <v>5726502.0199999996</v>
      </c>
      <c r="J1737" s="800">
        <f t="shared" si="336"/>
        <v>2.8648983265377588</v>
      </c>
      <c r="K1737" s="799">
        <f t="shared" si="336"/>
        <v>-3727652.0199999996</v>
      </c>
      <c r="L1737" s="801">
        <f t="shared" si="336"/>
        <v>0</v>
      </c>
      <c r="M1737" s="801">
        <f t="shared" si="336"/>
        <v>0</v>
      </c>
      <c r="N1737" s="802">
        <f t="shared" si="336"/>
        <v>0</v>
      </c>
      <c r="O1737" s="801">
        <f t="shared" si="336"/>
        <v>0</v>
      </c>
      <c r="P1737" s="801">
        <f t="shared" si="336"/>
        <v>1998850</v>
      </c>
      <c r="Q1737" s="801">
        <f t="shared" si="336"/>
        <v>5726502.0199999996</v>
      </c>
      <c r="R1737" s="802">
        <f t="shared" si="336"/>
        <v>2.8648983265377588</v>
      </c>
      <c r="S1737" s="801">
        <f t="shared" si="336"/>
        <v>-3727652.0199999996</v>
      </c>
      <c r="AB1737" s="84">
        <f t="shared" si="331"/>
        <v>0</v>
      </c>
    </row>
    <row r="1738" spans="1:31" x14ac:dyDescent="0.25">
      <c r="AB1738" s="84">
        <f t="shared" si="331"/>
        <v>0</v>
      </c>
    </row>
    <row r="1739" spans="1:31" s="972" customFormat="1" x14ac:dyDescent="0.25">
      <c r="A1739" s="767"/>
      <c r="B1739" s="768"/>
      <c r="C1739" s="968"/>
      <c r="D1739" s="767"/>
      <c r="E1739" s="768"/>
      <c r="F1739" s="785"/>
      <c r="G1739" s="821" t="s">
        <v>4150</v>
      </c>
      <c r="H1739" s="822"/>
      <c r="I1739" s="822"/>
      <c r="J1739" s="823"/>
      <c r="K1739" s="822"/>
      <c r="L1739" s="824"/>
      <c r="M1739" s="824"/>
      <c r="N1739" s="825"/>
      <c r="O1739" s="824"/>
      <c r="P1739" s="824"/>
      <c r="Q1739" s="824"/>
      <c r="R1739" s="825"/>
      <c r="S1739" s="880"/>
      <c r="T1739" s="971"/>
      <c r="V1739" s="973"/>
      <c r="W1739" s="973"/>
      <c r="X1739" s="833"/>
      <c r="Y1739" s="834"/>
      <c r="Z1739" s="830"/>
      <c r="AA1739" s="831"/>
      <c r="AB1739" s="972">
        <f t="shared" si="331"/>
        <v>0</v>
      </c>
    </row>
    <row r="1740" spans="1:31" s="972" customFormat="1" x14ac:dyDescent="0.25">
      <c r="A1740" s="767"/>
      <c r="B1740" s="768"/>
      <c r="C1740" s="968"/>
      <c r="D1740" s="767"/>
      <c r="E1740" s="768"/>
      <c r="F1740" s="792" t="s">
        <v>235</v>
      </c>
      <c r="G1740" s="793" t="s">
        <v>236</v>
      </c>
      <c r="H1740" s="794">
        <f>H1735</f>
        <v>1998850</v>
      </c>
      <c r="I1740" s="794">
        <f t="shared" ref="I1740:S1740" si="337">I1735</f>
        <v>5726502.0199999996</v>
      </c>
      <c r="J1740" s="795">
        <f t="shared" si="337"/>
        <v>2.8648983265377588</v>
      </c>
      <c r="K1740" s="794">
        <f t="shared" si="337"/>
        <v>-3727652.0199999996</v>
      </c>
      <c r="L1740" s="796">
        <f t="shared" si="337"/>
        <v>0</v>
      </c>
      <c r="M1740" s="796">
        <f t="shared" si="337"/>
        <v>0</v>
      </c>
      <c r="N1740" s="797">
        <f t="shared" si="337"/>
        <v>0</v>
      </c>
      <c r="O1740" s="796">
        <f t="shared" si="337"/>
        <v>0</v>
      </c>
      <c r="P1740" s="796">
        <f t="shared" si="337"/>
        <v>1998850</v>
      </c>
      <c r="Q1740" s="796">
        <f t="shared" si="337"/>
        <v>5726502.0199999996</v>
      </c>
      <c r="R1740" s="797">
        <f t="shared" si="337"/>
        <v>2.8648983265377588</v>
      </c>
      <c r="S1740" s="796">
        <f t="shared" si="337"/>
        <v>-3727652.0199999996</v>
      </c>
      <c r="T1740" s="971"/>
      <c r="V1740" s="973"/>
      <c r="W1740" s="973"/>
      <c r="X1740" s="833"/>
      <c r="Y1740" s="834"/>
      <c r="Z1740" s="830"/>
      <c r="AA1740" s="831"/>
      <c r="AB1740" s="972">
        <f t="shared" si="331"/>
        <v>0</v>
      </c>
    </row>
    <row r="1741" spans="1:31" s="972" customFormat="1" ht="15.75" thickBot="1" x14ac:dyDescent="0.3">
      <c r="A1741" s="767"/>
      <c r="B1741" s="768"/>
      <c r="C1741" s="968"/>
      <c r="D1741" s="767"/>
      <c r="E1741" s="768"/>
      <c r="F1741" s="792">
        <v>13</v>
      </c>
      <c r="G1741" s="793" t="s">
        <v>257</v>
      </c>
      <c r="H1741" s="794">
        <f>H1736</f>
        <v>0</v>
      </c>
      <c r="I1741" s="794">
        <f t="shared" ref="I1741:S1741" si="338">I1736</f>
        <v>0</v>
      </c>
      <c r="J1741" s="795"/>
      <c r="K1741" s="794">
        <f t="shared" si="338"/>
        <v>0</v>
      </c>
      <c r="L1741" s="796">
        <f t="shared" si="338"/>
        <v>0</v>
      </c>
      <c r="M1741" s="796">
        <f t="shared" si="338"/>
        <v>0</v>
      </c>
      <c r="N1741" s="797" t="e">
        <f t="shared" si="338"/>
        <v>#DIV/0!</v>
      </c>
      <c r="O1741" s="796">
        <f t="shared" si="338"/>
        <v>0</v>
      </c>
      <c r="P1741" s="796">
        <f t="shared" si="338"/>
        <v>0</v>
      </c>
      <c r="Q1741" s="796">
        <f t="shared" si="338"/>
        <v>0</v>
      </c>
      <c r="R1741" s="797" t="e">
        <f t="shared" si="338"/>
        <v>#DIV/0!</v>
      </c>
      <c r="S1741" s="796">
        <f t="shared" si="338"/>
        <v>0</v>
      </c>
      <c r="T1741" s="971"/>
      <c r="V1741" s="973"/>
      <c r="W1741" s="973"/>
      <c r="X1741" s="833"/>
      <c r="Y1741" s="834"/>
      <c r="Z1741" s="830"/>
      <c r="AA1741" s="831"/>
      <c r="AB1741" s="972">
        <f t="shared" si="331"/>
        <v>0</v>
      </c>
    </row>
    <row r="1742" spans="1:31" s="972" customFormat="1" ht="15.75" thickBot="1" x14ac:dyDescent="0.3">
      <c r="A1742" s="767"/>
      <c r="B1742" s="768"/>
      <c r="C1742" s="968"/>
      <c r="D1742" s="767"/>
      <c r="E1742" s="768"/>
      <c r="F1742" s="759"/>
      <c r="G1742" s="798" t="s">
        <v>4151</v>
      </c>
      <c r="H1742" s="799">
        <f>H1737</f>
        <v>1998850</v>
      </c>
      <c r="I1742" s="799">
        <f t="shared" ref="I1742:S1742" si="339">I1737</f>
        <v>5726502.0199999996</v>
      </c>
      <c r="J1742" s="800">
        <f t="shared" si="339"/>
        <v>2.8648983265377588</v>
      </c>
      <c r="K1742" s="799">
        <f t="shared" si="339"/>
        <v>-3727652.0199999996</v>
      </c>
      <c r="L1742" s="801">
        <f t="shared" si="339"/>
        <v>0</v>
      </c>
      <c r="M1742" s="801">
        <f t="shared" si="339"/>
        <v>0</v>
      </c>
      <c r="N1742" s="802">
        <f t="shared" si="339"/>
        <v>0</v>
      </c>
      <c r="O1742" s="801">
        <f t="shared" si="339"/>
        <v>0</v>
      </c>
      <c r="P1742" s="801">
        <f t="shared" si="339"/>
        <v>1998850</v>
      </c>
      <c r="Q1742" s="801">
        <f t="shared" si="339"/>
        <v>5726502.0199999996</v>
      </c>
      <c r="R1742" s="802">
        <f t="shared" si="339"/>
        <v>2.8648983265377588</v>
      </c>
      <c r="S1742" s="801">
        <f t="shared" si="339"/>
        <v>-3727652.0199999996</v>
      </c>
      <c r="T1742" s="971"/>
      <c r="V1742" s="973"/>
      <c r="W1742" s="973"/>
      <c r="X1742" s="833"/>
      <c r="Y1742" s="834"/>
      <c r="Z1742" s="830"/>
      <c r="AA1742" s="831"/>
      <c r="AB1742" s="972">
        <f t="shared" si="331"/>
        <v>0</v>
      </c>
    </row>
    <row r="1743" spans="1:31" x14ac:dyDescent="0.25">
      <c r="G1743" s="811"/>
      <c r="H1743" s="812"/>
      <c r="I1743" s="812"/>
      <c r="J1743" s="813"/>
      <c r="K1743" s="812"/>
      <c r="L1743" s="814"/>
      <c r="M1743" s="814"/>
      <c r="N1743" s="815"/>
      <c r="O1743" s="814"/>
      <c r="P1743" s="814"/>
      <c r="Q1743" s="814"/>
      <c r="R1743" s="815"/>
      <c r="S1743" s="814"/>
      <c r="AB1743" s="84">
        <f t="shared" si="331"/>
        <v>0</v>
      </c>
    </row>
    <row r="1744" spans="1:31" x14ac:dyDescent="0.25">
      <c r="E1744" s="784"/>
      <c r="F1744" s="785"/>
      <c r="G1744" s="821" t="s">
        <v>5014</v>
      </c>
      <c r="H1744" s="822"/>
      <c r="I1744" s="822"/>
      <c r="J1744" s="823"/>
      <c r="K1744" s="822"/>
      <c r="L1744" s="824"/>
      <c r="M1744" s="824"/>
      <c r="N1744" s="825"/>
      <c r="O1744" s="824"/>
      <c r="P1744" s="824"/>
      <c r="Q1744" s="824"/>
      <c r="R1744" s="825"/>
      <c r="S1744" s="880"/>
      <c r="AB1744" s="84">
        <f t="shared" si="331"/>
        <v>0</v>
      </c>
    </row>
    <row r="1745" spans="1:31" x14ac:dyDescent="0.25">
      <c r="E1745" s="791"/>
      <c r="F1745" s="792" t="s">
        <v>235</v>
      </c>
      <c r="G1745" s="793" t="s">
        <v>236</v>
      </c>
      <c r="H1745" s="794">
        <f>H1740</f>
        <v>1998850</v>
      </c>
      <c r="I1745" s="794">
        <f t="shared" ref="I1745:S1745" si="340">I1740</f>
        <v>5726502.0199999996</v>
      </c>
      <c r="J1745" s="795">
        <f t="shared" si="340"/>
        <v>2.8648983265377588</v>
      </c>
      <c r="K1745" s="794">
        <f t="shared" si="340"/>
        <v>-3727652.0199999996</v>
      </c>
      <c r="L1745" s="796">
        <f t="shared" si="340"/>
        <v>0</v>
      </c>
      <c r="M1745" s="796">
        <f t="shared" si="340"/>
        <v>0</v>
      </c>
      <c r="N1745" s="797">
        <f t="shared" si="340"/>
        <v>0</v>
      </c>
      <c r="O1745" s="796">
        <f t="shared" si="340"/>
        <v>0</v>
      </c>
      <c r="P1745" s="796">
        <f t="shared" si="340"/>
        <v>1998850</v>
      </c>
      <c r="Q1745" s="796">
        <f t="shared" si="340"/>
        <v>5726502.0199999996</v>
      </c>
      <c r="R1745" s="797">
        <f t="shared" si="340"/>
        <v>2.8648983265377588</v>
      </c>
      <c r="S1745" s="796">
        <f t="shared" si="340"/>
        <v>-3727652.0199999996</v>
      </c>
      <c r="AB1745" s="84">
        <f t="shared" si="331"/>
        <v>0</v>
      </c>
    </row>
    <row r="1746" spans="1:31" ht="15.75" thickBot="1" x14ac:dyDescent="0.3">
      <c r="E1746" s="791"/>
      <c r="F1746" s="792">
        <v>13</v>
      </c>
      <c r="G1746" s="793" t="s">
        <v>257</v>
      </c>
      <c r="H1746" s="794">
        <f>H1741</f>
        <v>0</v>
      </c>
      <c r="I1746" s="794">
        <f t="shared" ref="I1746:S1746" si="341">I1741</f>
        <v>0</v>
      </c>
      <c r="J1746" s="795"/>
      <c r="K1746" s="794">
        <f t="shared" si="341"/>
        <v>0</v>
      </c>
      <c r="L1746" s="796">
        <f t="shared" si="341"/>
        <v>0</v>
      </c>
      <c r="M1746" s="796">
        <f t="shared" si="341"/>
        <v>0</v>
      </c>
      <c r="N1746" s="797" t="e">
        <f t="shared" si="341"/>
        <v>#DIV/0!</v>
      </c>
      <c r="O1746" s="796">
        <f t="shared" si="341"/>
        <v>0</v>
      </c>
      <c r="P1746" s="796">
        <f t="shared" si="341"/>
        <v>0</v>
      </c>
      <c r="Q1746" s="796">
        <f t="shared" si="341"/>
        <v>0</v>
      </c>
      <c r="R1746" s="797" t="e">
        <f t="shared" si="341"/>
        <v>#DIV/0!</v>
      </c>
      <c r="S1746" s="796">
        <f t="shared" si="341"/>
        <v>0</v>
      </c>
      <c r="AB1746" s="84">
        <f t="shared" si="331"/>
        <v>0</v>
      </c>
    </row>
    <row r="1747" spans="1:31" ht="15.75" thickBot="1" x14ac:dyDescent="0.3">
      <c r="G1747" s="798" t="s">
        <v>5175</v>
      </c>
      <c r="H1747" s="799">
        <f>H1742</f>
        <v>1998850</v>
      </c>
      <c r="I1747" s="799">
        <f t="shared" ref="I1747:S1747" si="342">I1742</f>
        <v>5726502.0199999996</v>
      </c>
      <c r="J1747" s="800">
        <f t="shared" si="342"/>
        <v>2.8648983265377588</v>
      </c>
      <c r="K1747" s="799">
        <f t="shared" si="342"/>
        <v>-3727652.0199999996</v>
      </c>
      <c r="L1747" s="801">
        <f t="shared" si="342"/>
        <v>0</v>
      </c>
      <c r="M1747" s="801">
        <f t="shared" si="342"/>
        <v>0</v>
      </c>
      <c r="N1747" s="802">
        <f t="shared" si="342"/>
        <v>0</v>
      </c>
      <c r="O1747" s="801">
        <f t="shared" si="342"/>
        <v>0</v>
      </c>
      <c r="P1747" s="801">
        <f t="shared" si="342"/>
        <v>1998850</v>
      </c>
      <c r="Q1747" s="801">
        <f t="shared" si="342"/>
        <v>5726502.0199999996</v>
      </c>
      <c r="R1747" s="802">
        <f t="shared" si="342"/>
        <v>2.8648983265377588</v>
      </c>
      <c r="S1747" s="801">
        <f t="shared" si="342"/>
        <v>-3727652.0199999996</v>
      </c>
      <c r="AB1747" s="84">
        <f t="shared" si="331"/>
        <v>0</v>
      </c>
    </row>
    <row r="1748" spans="1:31" x14ac:dyDescent="0.25">
      <c r="G1748" s="811"/>
      <c r="H1748" s="812"/>
      <c r="I1748" s="812"/>
      <c r="J1748" s="813"/>
      <c r="K1748" s="812"/>
      <c r="L1748" s="814"/>
      <c r="M1748" s="814"/>
      <c r="N1748" s="815"/>
      <c r="O1748" s="814"/>
      <c r="P1748" s="814"/>
      <c r="Q1748" s="814"/>
      <c r="R1748" s="815"/>
      <c r="S1748" s="814"/>
    </row>
    <row r="1749" spans="1:31" hidden="1" x14ac:dyDescent="0.25">
      <c r="G1749" s="811"/>
      <c r="H1749" s="812"/>
      <c r="I1749" s="812"/>
      <c r="J1749" s="813"/>
      <c r="K1749" s="812"/>
      <c r="L1749" s="814"/>
      <c r="M1749" s="814"/>
      <c r="N1749" s="815"/>
      <c r="O1749" s="814"/>
      <c r="P1749" s="814"/>
      <c r="Q1749" s="814"/>
      <c r="R1749" s="815"/>
      <c r="S1749" s="814"/>
    </row>
    <row r="1750" spans="1:31" hidden="1" x14ac:dyDescent="0.25">
      <c r="G1750" s="811"/>
      <c r="H1750" s="812"/>
      <c r="I1750" s="812"/>
      <c r="J1750" s="813"/>
      <c r="K1750" s="812"/>
      <c r="L1750" s="814"/>
      <c r="M1750" s="814"/>
      <c r="N1750" s="815"/>
      <c r="O1750" s="814"/>
      <c r="P1750" s="814"/>
      <c r="Q1750" s="814"/>
      <c r="R1750" s="815"/>
      <c r="S1750" s="814"/>
    </row>
    <row r="1751" spans="1:31" ht="28.5" x14ac:dyDescent="0.25">
      <c r="A1751" s="862"/>
      <c r="B1751" s="860" t="s">
        <v>5320</v>
      </c>
      <c r="C1751" s="861"/>
      <c r="D1751" s="862"/>
      <c r="E1751" s="863"/>
      <c r="F1751" s="862"/>
      <c r="G1751" s="1067" t="s">
        <v>5321</v>
      </c>
      <c r="H1751" s="1068"/>
      <c r="I1751" s="1068"/>
      <c r="J1751" s="1069"/>
      <c r="K1751" s="1068"/>
      <c r="L1751" s="1070"/>
      <c r="M1751" s="1070"/>
      <c r="N1751" s="1071"/>
      <c r="O1751" s="1070"/>
      <c r="P1751" s="1070"/>
      <c r="Q1751" s="1070"/>
      <c r="R1751" s="1071"/>
      <c r="S1751" s="1070"/>
      <c r="AB1751" s="84">
        <f t="shared" ref="AB1751:AB1778" si="343">Z1751-AA1751</f>
        <v>0</v>
      </c>
    </row>
    <row r="1752" spans="1:31" x14ac:dyDescent="0.25">
      <c r="C1752" s="761" t="s">
        <v>3570</v>
      </c>
      <c r="G1752" s="985" t="s">
        <v>5322</v>
      </c>
      <c r="AB1752" s="84">
        <f t="shared" si="343"/>
        <v>0</v>
      </c>
    </row>
    <row r="1753" spans="1:31" x14ac:dyDescent="0.25">
      <c r="C1753" s="761" t="s">
        <v>4066</v>
      </c>
      <c r="D1753" s="770"/>
      <c r="G1753" s="869" t="s">
        <v>4052</v>
      </c>
      <c r="AB1753" s="84">
        <f t="shared" si="343"/>
        <v>0</v>
      </c>
    </row>
    <row r="1754" spans="1:31" s="972" customFormat="1" x14ac:dyDescent="0.25">
      <c r="A1754" s="767"/>
      <c r="B1754" s="768"/>
      <c r="C1754" s="968"/>
      <c r="D1754" s="986" t="s">
        <v>3945</v>
      </c>
      <c r="E1754" s="986"/>
      <c r="F1754" s="987"/>
      <c r="G1754" s="988" t="s">
        <v>163</v>
      </c>
      <c r="H1754" s="774"/>
      <c r="I1754" s="774"/>
      <c r="J1754" s="775"/>
      <c r="K1754" s="774"/>
      <c r="L1754" s="776"/>
      <c r="M1754" s="776"/>
      <c r="N1754" s="777"/>
      <c r="O1754" s="776"/>
      <c r="P1754" s="776"/>
      <c r="Q1754" s="776"/>
      <c r="R1754" s="777"/>
      <c r="S1754" s="970"/>
      <c r="T1754" s="971"/>
      <c r="V1754" s="973"/>
      <c r="W1754" s="973"/>
      <c r="X1754" s="833"/>
      <c r="Y1754" s="834"/>
      <c r="Z1754" s="830"/>
      <c r="AA1754" s="831"/>
      <c r="AB1754" s="972">
        <f t="shared" si="343"/>
        <v>0</v>
      </c>
    </row>
    <row r="1755" spans="1:31" s="972" customFormat="1" x14ac:dyDescent="0.25">
      <c r="A1755" s="989"/>
      <c r="B1755" s="976"/>
      <c r="C1755" s="990"/>
      <c r="D1755" s="976"/>
      <c r="E1755" s="976" t="s">
        <v>5279</v>
      </c>
      <c r="F1755" s="989">
        <v>411</v>
      </c>
      <c r="G1755" s="991" t="s">
        <v>4114</v>
      </c>
      <c r="H1755" s="774">
        <f>1638000+202992</f>
        <v>1840992</v>
      </c>
      <c r="I1755" s="774">
        <v>0</v>
      </c>
      <c r="J1755" s="775">
        <f>I1755/H1755</f>
        <v>0</v>
      </c>
      <c r="K1755" s="774">
        <f>H1755-I1755</f>
        <v>1840992</v>
      </c>
      <c r="L1755" s="776">
        <v>0</v>
      </c>
      <c r="M1755" s="776">
        <v>0</v>
      </c>
      <c r="N1755" s="777"/>
      <c r="O1755" s="776">
        <f>L1755-M1755</f>
        <v>0</v>
      </c>
      <c r="P1755" s="776">
        <f>L1755+H1755</f>
        <v>1840992</v>
      </c>
      <c r="Q1755" s="776">
        <f>M1755+I1755</f>
        <v>0</v>
      </c>
      <c r="R1755" s="777">
        <f>Q1755/P1755</f>
        <v>0</v>
      </c>
      <c r="S1755" s="970">
        <f>P1755-Q1755</f>
        <v>1840992</v>
      </c>
      <c r="T1755" s="971"/>
      <c r="V1755" s="973"/>
      <c r="W1755" s="973"/>
      <c r="X1755" s="833">
        <v>163815.39999999851</v>
      </c>
      <c r="Y1755" s="834"/>
      <c r="Z1755" s="830">
        <f t="shared" ref="Z1755:Z1768" si="344">H1755-X1755+Y1755</f>
        <v>1677176.6000000015</v>
      </c>
      <c r="AA1755" s="831">
        <v>658012.5</v>
      </c>
      <c r="AB1755" s="972">
        <f t="shared" si="343"/>
        <v>1019164.1000000015</v>
      </c>
      <c r="AE1755" s="972">
        <f t="shared" ref="AE1755:AE1768" si="345">H1755-AA1755</f>
        <v>1182979.5</v>
      </c>
    </row>
    <row r="1756" spans="1:31" s="972" customFormat="1" x14ac:dyDescent="0.25">
      <c r="A1756" s="989"/>
      <c r="B1756" s="976"/>
      <c r="C1756" s="990"/>
      <c r="D1756" s="976"/>
      <c r="E1756" s="976" t="s">
        <v>5280</v>
      </c>
      <c r="F1756" s="989">
        <v>412</v>
      </c>
      <c r="G1756" s="991" t="s">
        <v>3768</v>
      </c>
      <c r="H1756" s="774">
        <f>293204+34740</f>
        <v>327944</v>
      </c>
      <c r="I1756" s="774">
        <v>0</v>
      </c>
      <c r="J1756" s="775">
        <f t="shared" ref="J1756:J1768" si="346">I1756/H1756</f>
        <v>0</v>
      </c>
      <c r="K1756" s="774">
        <f t="shared" ref="K1756:K1768" si="347">H1756-I1756</f>
        <v>327944</v>
      </c>
      <c r="L1756" s="776">
        <v>0</v>
      </c>
      <c r="M1756" s="776">
        <v>0</v>
      </c>
      <c r="N1756" s="777"/>
      <c r="O1756" s="776">
        <f t="shared" ref="O1756:O1768" si="348">L1756-M1756</f>
        <v>0</v>
      </c>
      <c r="P1756" s="776">
        <f t="shared" ref="P1756:P1768" si="349">L1756+H1756</f>
        <v>327944</v>
      </c>
      <c r="Q1756" s="776">
        <f t="shared" ref="Q1756:Q1768" si="350">M1756+I1756</f>
        <v>0</v>
      </c>
      <c r="R1756" s="777">
        <f t="shared" ref="R1756:R1768" si="351">Q1756/P1756</f>
        <v>0</v>
      </c>
      <c r="S1756" s="970">
        <f t="shared" ref="S1756:S1768" si="352">P1756-Q1756</f>
        <v>327944</v>
      </c>
      <c r="T1756" s="971"/>
      <c r="V1756" s="973"/>
      <c r="W1756" s="973"/>
      <c r="X1756" s="833">
        <v>29322.950000000186</v>
      </c>
      <c r="Y1756" s="834"/>
      <c r="Z1756" s="830">
        <f t="shared" si="344"/>
        <v>298621.04999999981</v>
      </c>
      <c r="AA1756" s="831">
        <v>117784.26</v>
      </c>
      <c r="AB1756" s="972">
        <f t="shared" si="343"/>
        <v>180836.7899999998</v>
      </c>
      <c r="AE1756" s="972">
        <f t="shared" si="345"/>
        <v>210159.74</v>
      </c>
    </row>
    <row r="1757" spans="1:31" hidden="1" x14ac:dyDescent="0.25">
      <c r="F1757" s="782">
        <v>415</v>
      </c>
      <c r="G1757" s="783" t="s">
        <v>4124</v>
      </c>
      <c r="H1757" s="763">
        <v>0</v>
      </c>
      <c r="I1757" s="763">
        <v>0</v>
      </c>
      <c r="K1757" s="763">
        <f t="shared" si="347"/>
        <v>0</v>
      </c>
      <c r="L1757" s="765">
        <v>0</v>
      </c>
      <c r="M1757" s="765">
        <v>0</v>
      </c>
      <c r="O1757" s="765">
        <f t="shared" si="348"/>
        <v>0</v>
      </c>
      <c r="P1757" s="765">
        <f t="shared" si="349"/>
        <v>0</v>
      </c>
      <c r="Q1757" s="765">
        <f t="shared" si="350"/>
        <v>0</v>
      </c>
      <c r="R1757" s="766" t="e">
        <f t="shared" si="351"/>
        <v>#DIV/0!</v>
      </c>
      <c r="S1757" s="765">
        <f t="shared" si="352"/>
        <v>0</v>
      </c>
      <c r="X1757" s="833">
        <v>20000</v>
      </c>
      <c r="AA1757" s="831">
        <v>20000</v>
      </c>
      <c r="AB1757" s="84">
        <f t="shared" si="343"/>
        <v>-20000</v>
      </c>
      <c r="AE1757" s="84">
        <f t="shared" si="345"/>
        <v>-20000</v>
      </c>
    </row>
    <row r="1758" spans="1:31" x14ac:dyDescent="0.25">
      <c r="E1758" s="760" t="s">
        <v>5486</v>
      </c>
      <c r="F1758" s="782">
        <v>421</v>
      </c>
      <c r="G1758" s="874" t="s">
        <v>3781</v>
      </c>
      <c r="H1758" s="763">
        <v>50000</v>
      </c>
      <c r="I1758" s="763">
        <v>3309.04</v>
      </c>
      <c r="J1758" s="764">
        <f t="shared" si="346"/>
        <v>6.6180799999999998E-2</v>
      </c>
      <c r="K1758" s="763">
        <f t="shared" si="347"/>
        <v>46690.96</v>
      </c>
      <c r="L1758" s="765">
        <v>0</v>
      </c>
      <c r="M1758" s="765">
        <v>0</v>
      </c>
      <c r="O1758" s="765">
        <f t="shared" si="348"/>
        <v>0</v>
      </c>
      <c r="P1758" s="765">
        <f t="shared" si="349"/>
        <v>50000</v>
      </c>
      <c r="Q1758" s="765">
        <f t="shared" si="350"/>
        <v>3309.04</v>
      </c>
      <c r="R1758" s="766">
        <f t="shared" si="351"/>
        <v>6.6180799999999998E-2</v>
      </c>
      <c r="S1758" s="765">
        <f t="shared" si="352"/>
        <v>46690.96</v>
      </c>
      <c r="X1758" s="833">
        <v>16690.96</v>
      </c>
      <c r="Z1758" s="830">
        <f t="shared" si="344"/>
        <v>33309.040000000001</v>
      </c>
      <c r="AA1758" s="831">
        <v>20000</v>
      </c>
      <c r="AB1758" s="84">
        <f t="shared" si="343"/>
        <v>13309.04</v>
      </c>
      <c r="AE1758" s="84">
        <f t="shared" si="345"/>
        <v>30000</v>
      </c>
    </row>
    <row r="1759" spans="1:31" hidden="1" x14ac:dyDescent="0.25">
      <c r="F1759" s="782">
        <v>422</v>
      </c>
      <c r="G1759" s="783" t="s">
        <v>3782</v>
      </c>
      <c r="H1759" s="763">
        <v>0</v>
      </c>
      <c r="I1759" s="763">
        <v>0</v>
      </c>
      <c r="K1759" s="763">
        <f t="shared" si="347"/>
        <v>0</v>
      </c>
      <c r="L1759" s="765">
        <v>0</v>
      </c>
      <c r="M1759" s="765">
        <v>0</v>
      </c>
      <c r="O1759" s="765">
        <f t="shared" si="348"/>
        <v>0</v>
      </c>
      <c r="P1759" s="765">
        <f t="shared" si="349"/>
        <v>0</v>
      </c>
      <c r="Q1759" s="765">
        <f t="shared" si="350"/>
        <v>0</v>
      </c>
      <c r="R1759" s="766" t="e">
        <f t="shared" si="351"/>
        <v>#DIV/0!</v>
      </c>
      <c r="S1759" s="765">
        <f t="shared" si="352"/>
        <v>0</v>
      </c>
      <c r="X1759" s="833">
        <v>20000</v>
      </c>
      <c r="AA1759" s="831">
        <v>20000</v>
      </c>
      <c r="AE1759" s="84">
        <f t="shared" si="345"/>
        <v>-20000</v>
      </c>
    </row>
    <row r="1760" spans="1:31" x14ac:dyDescent="0.25">
      <c r="E1760" s="760" t="s">
        <v>5281</v>
      </c>
      <c r="F1760" s="782">
        <v>423</v>
      </c>
      <c r="G1760" s="783" t="s">
        <v>3783</v>
      </c>
      <c r="H1760" s="763">
        <v>4604110</v>
      </c>
      <c r="I1760" s="763">
        <f>1099962.47+109322.41</f>
        <v>1209284.8799999999</v>
      </c>
      <c r="J1760" s="764">
        <f t="shared" si="346"/>
        <v>0.26265334233977899</v>
      </c>
      <c r="K1760" s="763">
        <f t="shared" si="347"/>
        <v>3394825.12</v>
      </c>
      <c r="L1760" s="765">
        <v>0</v>
      </c>
      <c r="M1760" s="765">
        <v>0</v>
      </c>
      <c r="O1760" s="765">
        <f t="shared" si="348"/>
        <v>0</v>
      </c>
      <c r="P1760" s="765">
        <f t="shared" si="349"/>
        <v>4604110</v>
      </c>
      <c r="Q1760" s="765">
        <f t="shared" si="350"/>
        <v>1209284.8799999999</v>
      </c>
      <c r="R1760" s="766">
        <f t="shared" si="351"/>
        <v>0.26265334233977899</v>
      </c>
      <c r="S1760" s="765">
        <f t="shared" si="352"/>
        <v>3394825.12</v>
      </c>
      <c r="X1760" s="833">
        <v>440000</v>
      </c>
      <c r="Z1760" s="830">
        <f t="shared" si="344"/>
        <v>4164110</v>
      </c>
      <c r="AA1760" s="831">
        <v>1900000</v>
      </c>
      <c r="AE1760" s="84">
        <f t="shared" si="345"/>
        <v>2704110</v>
      </c>
    </row>
    <row r="1761" spans="1:31" x14ac:dyDescent="0.25">
      <c r="E1761" s="760" t="s">
        <v>5282</v>
      </c>
      <c r="F1761" s="782">
        <v>424</v>
      </c>
      <c r="G1761" s="783" t="s">
        <v>3785</v>
      </c>
      <c r="H1761" s="763">
        <v>200000</v>
      </c>
      <c r="I1761" s="763">
        <v>0</v>
      </c>
      <c r="K1761" s="763">
        <f t="shared" si="347"/>
        <v>200000</v>
      </c>
      <c r="L1761" s="765">
        <v>0</v>
      </c>
      <c r="M1761" s="765">
        <v>0</v>
      </c>
      <c r="O1761" s="765">
        <f t="shared" si="348"/>
        <v>0</v>
      </c>
      <c r="P1761" s="765">
        <f t="shared" si="349"/>
        <v>200000</v>
      </c>
      <c r="Q1761" s="765">
        <f t="shared" si="350"/>
        <v>0</v>
      </c>
      <c r="R1761" s="766">
        <f t="shared" si="351"/>
        <v>0</v>
      </c>
      <c r="S1761" s="765">
        <f t="shared" si="352"/>
        <v>200000</v>
      </c>
      <c r="X1761" s="833">
        <v>200000</v>
      </c>
      <c r="AA1761" s="831">
        <v>200000</v>
      </c>
      <c r="AE1761" s="84">
        <f t="shared" si="345"/>
        <v>0</v>
      </c>
    </row>
    <row r="1762" spans="1:31" x14ac:dyDescent="0.25">
      <c r="E1762" s="760" t="s">
        <v>5283</v>
      </c>
      <c r="F1762" s="782">
        <v>425</v>
      </c>
      <c r="G1762" s="783" t="s">
        <v>4127</v>
      </c>
      <c r="H1762" s="763">
        <v>500000</v>
      </c>
      <c r="I1762" s="763">
        <v>125000</v>
      </c>
      <c r="J1762" s="764">
        <f t="shared" si="346"/>
        <v>0.25</v>
      </c>
      <c r="K1762" s="763">
        <f t="shared" si="347"/>
        <v>375000</v>
      </c>
      <c r="L1762" s="765">
        <v>0</v>
      </c>
      <c r="M1762" s="765">
        <v>0</v>
      </c>
      <c r="O1762" s="765">
        <f t="shared" si="348"/>
        <v>0</v>
      </c>
      <c r="P1762" s="765">
        <f t="shared" si="349"/>
        <v>500000</v>
      </c>
      <c r="Q1762" s="765">
        <f t="shared" si="350"/>
        <v>125000</v>
      </c>
      <c r="R1762" s="766">
        <f t="shared" si="351"/>
        <v>0.25</v>
      </c>
      <c r="S1762" s="765">
        <f t="shared" si="352"/>
        <v>375000</v>
      </c>
      <c r="X1762" s="833">
        <v>175000</v>
      </c>
      <c r="Z1762" s="830">
        <f t="shared" si="344"/>
        <v>325000</v>
      </c>
      <c r="AA1762" s="831">
        <v>300000</v>
      </c>
      <c r="AE1762" s="84">
        <f t="shared" si="345"/>
        <v>200000</v>
      </c>
    </row>
    <row r="1763" spans="1:31" x14ac:dyDescent="0.25">
      <c r="E1763" s="760" t="s">
        <v>5284</v>
      </c>
      <c r="F1763" s="782">
        <v>426</v>
      </c>
      <c r="G1763" s="783" t="s">
        <v>3789</v>
      </c>
      <c r="H1763" s="763">
        <v>1500000</v>
      </c>
      <c r="I1763" s="763">
        <v>142023.75</v>
      </c>
      <c r="J1763" s="764">
        <f t="shared" si="346"/>
        <v>9.4682500000000003E-2</v>
      </c>
      <c r="K1763" s="763">
        <f t="shared" si="347"/>
        <v>1357976.25</v>
      </c>
      <c r="L1763" s="765">
        <v>0</v>
      </c>
      <c r="M1763" s="765">
        <v>0</v>
      </c>
      <c r="O1763" s="765">
        <f t="shared" si="348"/>
        <v>0</v>
      </c>
      <c r="P1763" s="765">
        <f t="shared" si="349"/>
        <v>1500000</v>
      </c>
      <c r="Q1763" s="765">
        <f t="shared" si="350"/>
        <v>142023.75</v>
      </c>
      <c r="R1763" s="766">
        <f t="shared" si="351"/>
        <v>9.4682500000000003E-2</v>
      </c>
      <c r="S1763" s="765">
        <f t="shared" si="352"/>
        <v>1357976.25</v>
      </c>
      <c r="X1763" s="833">
        <v>127976.25</v>
      </c>
      <c r="Z1763" s="830">
        <f t="shared" si="344"/>
        <v>1372023.75</v>
      </c>
      <c r="AA1763" s="831">
        <v>270000</v>
      </c>
      <c r="AE1763" s="84">
        <f t="shared" si="345"/>
        <v>1230000</v>
      </c>
    </row>
    <row r="1764" spans="1:31" x14ac:dyDescent="0.25">
      <c r="E1764" s="760" t="s">
        <v>3896</v>
      </c>
      <c r="F1764" s="782">
        <v>465</v>
      </c>
      <c r="G1764" s="783" t="s">
        <v>4758</v>
      </c>
      <c r="H1764" s="763">
        <v>193120</v>
      </c>
      <c r="I1764" s="763">
        <v>0</v>
      </c>
      <c r="J1764" s="764">
        <f t="shared" si="346"/>
        <v>0</v>
      </c>
      <c r="K1764" s="763">
        <f t="shared" si="347"/>
        <v>193120</v>
      </c>
      <c r="L1764" s="765">
        <v>0</v>
      </c>
      <c r="M1764" s="765">
        <v>0</v>
      </c>
      <c r="O1764" s="765">
        <f t="shared" si="348"/>
        <v>0</v>
      </c>
      <c r="P1764" s="765">
        <f t="shared" si="349"/>
        <v>193120</v>
      </c>
      <c r="Q1764" s="765">
        <f t="shared" si="350"/>
        <v>0</v>
      </c>
      <c r="R1764" s="766">
        <f t="shared" si="351"/>
        <v>0</v>
      </c>
      <c r="S1764" s="765">
        <f t="shared" si="352"/>
        <v>193120</v>
      </c>
      <c r="X1764" s="833">
        <v>15000.86</v>
      </c>
      <c r="Z1764" s="830">
        <f t="shared" si="344"/>
        <v>178119.14</v>
      </c>
      <c r="AA1764" s="831">
        <v>77579</v>
      </c>
      <c r="AE1764" s="84">
        <f t="shared" si="345"/>
        <v>115541</v>
      </c>
    </row>
    <row r="1765" spans="1:31" x14ac:dyDescent="0.25">
      <c r="E1765" s="760" t="s">
        <v>5485</v>
      </c>
      <c r="F1765" s="782">
        <v>482</v>
      </c>
      <c r="G1765" s="783" t="s">
        <v>4137</v>
      </c>
      <c r="H1765" s="763">
        <v>20000</v>
      </c>
      <c r="I1765" s="763">
        <v>0</v>
      </c>
      <c r="K1765" s="763">
        <f t="shared" si="347"/>
        <v>20000</v>
      </c>
      <c r="L1765" s="765">
        <v>0</v>
      </c>
      <c r="M1765" s="765">
        <v>0</v>
      </c>
      <c r="O1765" s="765">
        <f t="shared" si="348"/>
        <v>0</v>
      </c>
      <c r="P1765" s="765">
        <f t="shared" si="349"/>
        <v>20000</v>
      </c>
      <c r="Q1765" s="765">
        <f t="shared" si="350"/>
        <v>0</v>
      </c>
      <c r="R1765" s="766">
        <f t="shared" si="351"/>
        <v>0</v>
      </c>
      <c r="S1765" s="765">
        <f t="shared" si="352"/>
        <v>20000</v>
      </c>
      <c r="X1765" s="833">
        <v>10000</v>
      </c>
      <c r="Z1765" s="830">
        <f t="shared" si="344"/>
        <v>10000</v>
      </c>
      <c r="AA1765" s="831">
        <v>10000</v>
      </c>
      <c r="AE1765" s="84">
        <f t="shared" si="345"/>
        <v>10000</v>
      </c>
    </row>
    <row r="1766" spans="1:31" x14ac:dyDescent="0.25">
      <c r="E1766" s="760" t="s">
        <v>5487</v>
      </c>
      <c r="F1766" s="782">
        <v>483</v>
      </c>
      <c r="G1766" s="876" t="s">
        <v>4138</v>
      </c>
      <c r="H1766" s="763">
        <v>20000</v>
      </c>
      <c r="I1766" s="763">
        <v>0</v>
      </c>
      <c r="K1766" s="763">
        <f t="shared" si="347"/>
        <v>20000</v>
      </c>
      <c r="L1766" s="765">
        <v>0</v>
      </c>
      <c r="M1766" s="765">
        <v>0</v>
      </c>
      <c r="O1766" s="765">
        <f t="shared" si="348"/>
        <v>0</v>
      </c>
      <c r="P1766" s="765">
        <f t="shared" si="349"/>
        <v>20000</v>
      </c>
      <c r="Q1766" s="765">
        <f t="shared" si="350"/>
        <v>0</v>
      </c>
      <c r="R1766" s="766">
        <f t="shared" si="351"/>
        <v>0</v>
      </c>
      <c r="S1766" s="765">
        <f t="shared" si="352"/>
        <v>20000</v>
      </c>
      <c r="X1766" s="833">
        <v>10000</v>
      </c>
      <c r="Z1766" s="830">
        <f t="shared" si="344"/>
        <v>10000</v>
      </c>
      <c r="AA1766" s="831">
        <v>10000</v>
      </c>
      <c r="AE1766" s="84">
        <f t="shared" si="345"/>
        <v>10000</v>
      </c>
    </row>
    <row r="1767" spans="1:31" ht="15.75" thickBot="1" x14ac:dyDescent="0.3">
      <c r="E1767" s="760" t="s">
        <v>5488</v>
      </c>
      <c r="F1767" s="782">
        <v>512</v>
      </c>
      <c r="G1767" s="876" t="s">
        <v>4142</v>
      </c>
      <c r="H1767" s="763">
        <v>1250000</v>
      </c>
      <c r="I1767" s="763">
        <v>0</v>
      </c>
      <c r="J1767" s="764">
        <f t="shared" si="346"/>
        <v>0</v>
      </c>
      <c r="K1767" s="763">
        <f t="shared" si="347"/>
        <v>1250000</v>
      </c>
      <c r="L1767" s="765">
        <v>0</v>
      </c>
      <c r="M1767" s="765">
        <v>0</v>
      </c>
      <c r="O1767" s="765">
        <f t="shared" si="348"/>
        <v>0</v>
      </c>
      <c r="P1767" s="765">
        <f t="shared" si="349"/>
        <v>1250000</v>
      </c>
      <c r="Q1767" s="765">
        <f t="shared" si="350"/>
        <v>0</v>
      </c>
      <c r="R1767" s="766">
        <f t="shared" si="351"/>
        <v>0</v>
      </c>
      <c r="S1767" s="765">
        <f t="shared" si="352"/>
        <v>1250000</v>
      </c>
      <c r="Y1767" s="834">
        <v>100000</v>
      </c>
      <c r="Z1767" s="830">
        <f t="shared" si="344"/>
        <v>1350000</v>
      </c>
      <c r="AA1767" s="831">
        <v>100000</v>
      </c>
      <c r="AE1767" s="84">
        <f t="shared" si="345"/>
        <v>1150000</v>
      </c>
    </row>
    <row r="1768" spans="1:31" ht="15.75" hidden="1" thickBot="1" x14ac:dyDescent="0.3">
      <c r="F1768" s="782">
        <v>515</v>
      </c>
      <c r="G1768" s="874" t="s">
        <v>3836</v>
      </c>
      <c r="H1768" s="763">
        <v>0</v>
      </c>
      <c r="I1768" s="763">
        <v>126000</v>
      </c>
      <c r="J1768" s="764" t="e">
        <f t="shared" si="346"/>
        <v>#DIV/0!</v>
      </c>
      <c r="K1768" s="763">
        <f t="shared" si="347"/>
        <v>-126000</v>
      </c>
      <c r="L1768" s="765">
        <v>0</v>
      </c>
      <c r="M1768" s="765">
        <v>0</v>
      </c>
      <c r="O1768" s="765">
        <f t="shared" si="348"/>
        <v>0</v>
      </c>
      <c r="P1768" s="765">
        <f t="shared" si="349"/>
        <v>0</v>
      </c>
      <c r="Q1768" s="765">
        <f t="shared" si="350"/>
        <v>126000</v>
      </c>
      <c r="R1768" s="766" t="e">
        <f t="shared" si="351"/>
        <v>#DIV/0!</v>
      </c>
      <c r="S1768" s="765">
        <f t="shared" si="352"/>
        <v>-126000</v>
      </c>
      <c r="X1768" s="833">
        <v>24000</v>
      </c>
      <c r="Z1768" s="830">
        <f t="shared" si="344"/>
        <v>-24000</v>
      </c>
      <c r="AA1768" s="831">
        <v>150000</v>
      </c>
      <c r="AE1768" s="84">
        <f t="shared" si="345"/>
        <v>-150000</v>
      </c>
    </row>
    <row r="1769" spans="1:31" x14ac:dyDescent="0.25">
      <c r="E1769" s="784"/>
      <c r="F1769" s="785"/>
      <c r="G1769" s="786" t="s">
        <v>5323</v>
      </c>
      <c r="H1769" s="787"/>
      <c r="I1769" s="787"/>
      <c r="J1769" s="788"/>
      <c r="K1769" s="787"/>
      <c r="L1769" s="789"/>
      <c r="M1769" s="789"/>
      <c r="N1769" s="790"/>
      <c r="O1769" s="789"/>
      <c r="P1769" s="789"/>
      <c r="Q1769" s="789"/>
      <c r="R1769" s="790"/>
      <c r="S1769" s="877"/>
      <c r="AB1769" s="84">
        <f t="shared" si="343"/>
        <v>0</v>
      </c>
    </row>
    <row r="1770" spans="1:31" ht="15.75" thickBot="1" x14ac:dyDescent="0.3">
      <c r="E1770" s="791"/>
      <c r="F1770" s="792" t="s">
        <v>235</v>
      </c>
      <c r="G1770" s="793" t="s">
        <v>236</v>
      </c>
      <c r="H1770" s="794">
        <f>SUM(H1755:H1768)</f>
        <v>10506166</v>
      </c>
      <c r="I1770" s="794">
        <f>SUM(I1755:I1768)</f>
        <v>1605617.67</v>
      </c>
      <c r="J1770" s="795">
        <f>I1770/H1770</f>
        <v>0.15282622319121933</v>
      </c>
      <c r="K1770" s="794">
        <f>H1770-I1770</f>
        <v>8900548.3300000001</v>
      </c>
      <c r="L1770" s="796">
        <f>SUM(L1755:L1768)</f>
        <v>0</v>
      </c>
      <c r="M1770" s="796">
        <f>SUM(M1755:M1768)</f>
        <v>0</v>
      </c>
      <c r="N1770" s="797"/>
      <c r="O1770" s="796">
        <f>L1770-M1770</f>
        <v>0</v>
      </c>
      <c r="P1770" s="796">
        <f>L1770+H1770</f>
        <v>10506166</v>
      </c>
      <c r="Q1770" s="796">
        <f>M1770+I1770</f>
        <v>1605617.67</v>
      </c>
      <c r="R1770" s="797">
        <f>Q1770/P1770</f>
        <v>0.15282622319121933</v>
      </c>
      <c r="S1770" s="796">
        <f>P1770-Q1770</f>
        <v>8900548.3300000001</v>
      </c>
      <c r="AB1770" s="84">
        <f t="shared" si="343"/>
        <v>0</v>
      </c>
    </row>
    <row r="1771" spans="1:31" ht="15.75" thickBot="1" x14ac:dyDescent="0.3">
      <c r="G1771" s="798" t="s">
        <v>5326</v>
      </c>
      <c r="H1771" s="799">
        <f>SUM(H1770:H1770)</f>
        <v>10506166</v>
      </c>
      <c r="I1771" s="799">
        <f>SUM(I1770:I1770)</f>
        <v>1605617.67</v>
      </c>
      <c r="J1771" s="800">
        <f>I1771/H1771</f>
        <v>0.15282622319121933</v>
      </c>
      <c r="K1771" s="799">
        <f>SUM(K1770:K1770)</f>
        <v>8900548.3300000001</v>
      </c>
      <c r="L1771" s="801">
        <f>SUM(L1770:L1770)</f>
        <v>0</v>
      </c>
      <c r="M1771" s="801">
        <f>SUM(M1770:M1770)</f>
        <v>0</v>
      </c>
      <c r="N1771" s="802"/>
      <c r="O1771" s="801">
        <f>L1771-M1771</f>
        <v>0</v>
      </c>
      <c r="P1771" s="801">
        <f>L1771+H1771</f>
        <v>10506166</v>
      </c>
      <c r="Q1771" s="801">
        <f>M1771+I1771</f>
        <v>1605617.67</v>
      </c>
      <c r="R1771" s="802">
        <f>Q1771/P1771</f>
        <v>0.15282622319121933</v>
      </c>
      <c r="S1771" s="801">
        <f>P1771-Q1771</f>
        <v>8900548.3300000001</v>
      </c>
      <c r="AB1771" s="84">
        <f t="shared" si="343"/>
        <v>0</v>
      </c>
    </row>
    <row r="1772" spans="1:31" ht="28.5" collapsed="1" x14ac:dyDescent="0.25">
      <c r="E1772" s="784"/>
      <c r="F1772" s="785"/>
      <c r="G1772" s="803" t="s">
        <v>5324</v>
      </c>
      <c r="H1772" s="804"/>
      <c r="I1772" s="805"/>
      <c r="J1772" s="806"/>
      <c r="K1772" s="805"/>
      <c r="L1772" s="807"/>
      <c r="M1772" s="808"/>
      <c r="N1772" s="809"/>
      <c r="O1772" s="808"/>
      <c r="P1772" s="808"/>
      <c r="Q1772" s="808"/>
      <c r="R1772" s="809"/>
      <c r="S1772" s="878"/>
      <c r="AB1772" s="84">
        <f t="shared" si="343"/>
        <v>0</v>
      </c>
    </row>
    <row r="1773" spans="1:31" ht="15.75" thickBot="1" x14ac:dyDescent="0.3">
      <c r="E1773" s="791"/>
      <c r="F1773" s="792" t="s">
        <v>235</v>
      </c>
      <c r="G1773" s="793" t="s">
        <v>236</v>
      </c>
      <c r="H1773" s="794">
        <f>H1770</f>
        <v>10506166</v>
      </c>
      <c r="I1773" s="794">
        <f t="shared" ref="I1773:S1773" si="353">I1770</f>
        <v>1605617.67</v>
      </c>
      <c r="J1773" s="795">
        <f t="shared" si="353"/>
        <v>0.15282622319121933</v>
      </c>
      <c r="K1773" s="794">
        <f t="shared" si="353"/>
        <v>8900548.3300000001</v>
      </c>
      <c r="L1773" s="796">
        <f t="shared" si="353"/>
        <v>0</v>
      </c>
      <c r="M1773" s="796">
        <f t="shared" si="353"/>
        <v>0</v>
      </c>
      <c r="N1773" s="797">
        <f t="shared" si="353"/>
        <v>0</v>
      </c>
      <c r="O1773" s="796">
        <f t="shared" si="353"/>
        <v>0</v>
      </c>
      <c r="P1773" s="796">
        <f t="shared" si="353"/>
        <v>10506166</v>
      </c>
      <c r="Q1773" s="796">
        <f t="shared" si="353"/>
        <v>1605617.67</v>
      </c>
      <c r="R1773" s="797">
        <f t="shared" si="353"/>
        <v>0.15282622319121933</v>
      </c>
      <c r="S1773" s="796">
        <f t="shared" si="353"/>
        <v>8900548.3300000001</v>
      </c>
      <c r="AB1773" s="84">
        <f t="shared" si="343"/>
        <v>0</v>
      </c>
    </row>
    <row r="1774" spans="1:31" ht="15.75" collapsed="1" thickBot="1" x14ac:dyDescent="0.3">
      <c r="G1774" s="798" t="s">
        <v>5325</v>
      </c>
      <c r="H1774" s="799">
        <f>H1771</f>
        <v>10506166</v>
      </c>
      <c r="I1774" s="799">
        <f t="shared" ref="I1774:S1774" si="354">I1771</f>
        <v>1605617.67</v>
      </c>
      <c r="J1774" s="800">
        <f t="shared" si="354"/>
        <v>0.15282622319121933</v>
      </c>
      <c r="K1774" s="799">
        <f t="shared" si="354"/>
        <v>8900548.3300000001</v>
      </c>
      <c r="L1774" s="801">
        <f t="shared" si="354"/>
        <v>0</v>
      </c>
      <c r="M1774" s="801">
        <f t="shared" si="354"/>
        <v>0</v>
      </c>
      <c r="N1774" s="802">
        <f t="shared" si="354"/>
        <v>0</v>
      </c>
      <c r="O1774" s="801">
        <f t="shared" si="354"/>
        <v>0</v>
      </c>
      <c r="P1774" s="801">
        <f t="shared" si="354"/>
        <v>10506166</v>
      </c>
      <c r="Q1774" s="801">
        <f t="shared" si="354"/>
        <v>1605617.67</v>
      </c>
      <c r="R1774" s="802">
        <f t="shared" si="354"/>
        <v>0.15282622319121933</v>
      </c>
      <c r="S1774" s="801">
        <f t="shared" si="354"/>
        <v>8900548.3300000001</v>
      </c>
      <c r="AB1774" s="84">
        <f t="shared" si="343"/>
        <v>0</v>
      </c>
    </row>
    <row r="1775" spans="1:31" x14ac:dyDescent="0.25">
      <c r="AB1775" s="84">
        <f t="shared" si="343"/>
        <v>0</v>
      </c>
    </row>
    <row r="1776" spans="1:31" s="972" customFormat="1" x14ac:dyDescent="0.25">
      <c r="A1776" s="767"/>
      <c r="B1776" s="768"/>
      <c r="C1776" s="968"/>
      <c r="D1776" s="767"/>
      <c r="E1776" s="768"/>
      <c r="F1776" s="785"/>
      <c r="G1776" s="821" t="s">
        <v>5327</v>
      </c>
      <c r="H1776" s="822"/>
      <c r="I1776" s="822"/>
      <c r="J1776" s="823"/>
      <c r="K1776" s="822"/>
      <c r="L1776" s="824"/>
      <c r="M1776" s="824"/>
      <c r="N1776" s="825"/>
      <c r="O1776" s="824"/>
      <c r="P1776" s="824"/>
      <c r="Q1776" s="824"/>
      <c r="R1776" s="825"/>
      <c r="S1776" s="880"/>
      <c r="T1776" s="971"/>
      <c r="V1776" s="973"/>
      <c r="W1776" s="973"/>
      <c r="X1776" s="833"/>
      <c r="Y1776" s="834"/>
      <c r="Z1776" s="830"/>
      <c r="AA1776" s="831"/>
      <c r="AB1776" s="972">
        <f t="shared" si="343"/>
        <v>0</v>
      </c>
    </row>
    <row r="1777" spans="1:28" s="972" customFormat="1" ht="15.75" thickBot="1" x14ac:dyDescent="0.3">
      <c r="A1777" s="767"/>
      <c r="B1777" s="768"/>
      <c r="C1777" s="968"/>
      <c r="D1777" s="767"/>
      <c r="E1777" s="768"/>
      <c r="F1777" s="792" t="s">
        <v>235</v>
      </c>
      <c r="G1777" s="793" t="s">
        <v>236</v>
      </c>
      <c r="H1777" s="794">
        <f>H1773</f>
        <v>10506166</v>
      </c>
      <c r="I1777" s="794">
        <f t="shared" ref="I1777:S1777" si="355">I1773</f>
        <v>1605617.67</v>
      </c>
      <c r="J1777" s="795">
        <f t="shared" si="355"/>
        <v>0.15282622319121933</v>
      </c>
      <c r="K1777" s="794">
        <f t="shared" si="355"/>
        <v>8900548.3300000001</v>
      </c>
      <c r="L1777" s="796">
        <f t="shared" si="355"/>
        <v>0</v>
      </c>
      <c r="M1777" s="796">
        <f t="shared" si="355"/>
        <v>0</v>
      </c>
      <c r="N1777" s="797">
        <f t="shared" si="355"/>
        <v>0</v>
      </c>
      <c r="O1777" s="796">
        <f t="shared" si="355"/>
        <v>0</v>
      </c>
      <c r="P1777" s="796">
        <f t="shared" si="355"/>
        <v>10506166</v>
      </c>
      <c r="Q1777" s="796">
        <f t="shared" si="355"/>
        <v>1605617.67</v>
      </c>
      <c r="R1777" s="797">
        <f t="shared" si="355"/>
        <v>0.15282622319121933</v>
      </c>
      <c r="S1777" s="796">
        <f t="shared" si="355"/>
        <v>8900548.3300000001</v>
      </c>
      <c r="T1777" s="971"/>
      <c r="V1777" s="973"/>
      <c r="W1777" s="973"/>
      <c r="X1777" s="833"/>
      <c r="Y1777" s="834"/>
      <c r="Z1777" s="830"/>
      <c r="AA1777" s="831"/>
      <c r="AB1777" s="972">
        <f t="shared" si="343"/>
        <v>0</v>
      </c>
    </row>
    <row r="1778" spans="1:28" s="972" customFormat="1" ht="15.75" thickBot="1" x14ac:dyDescent="0.3">
      <c r="A1778" s="767"/>
      <c r="B1778" s="768"/>
      <c r="C1778" s="968"/>
      <c r="D1778" s="767"/>
      <c r="E1778" s="768"/>
      <c r="F1778" s="759"/>
      <c r="G1778" s="798" t="s">
        <v>4151</v>
      </c>
      <c r="H1778" s="799">
        <f>H1774</f>
        <v>10506166</v>
      </c>
      <c r="I1778" s="799">
        <f t="shared" ref="I1778:S1778" si="356">I1774</f>
        <v>1605617.67</v>
      </c>
      <c r="J1778" s="800">
        <f t="shared" si="356"/>
        <v>0.15282622319121933</v>
      </c>
      <c r="K1778" s="799">
        <f t="shared" si="356"/>
        <v>8900548.3300000001</v>
      </c>
      <c r="L1778" s="801">
        <f t="shared" si="356"/>
        <v>0</v>
      </c>
      <c r="M1778" s="801">
        <f t="shared" si="356"/>
        <v>0</v>
      </c>
      <c r="N1778" s="802">
        <f t="shared" si="356"/>
        <v>0</v>
      </c>
      <c r="O1778" s="801">
        <f t="shared" si="356"/>
        <v>0</v>
      </c>
      <c r="P1778" s="801">
        <f t="shared" si="356"/>
        <v>10506166</v>
      </c>
      <c r="Q1778" s="801">
        <f t="shared" si="356"/>
        <v>1605617.67</v>
      </c>
      <c r="R1778" s="802">
        <f t="shared" si="356"/>
        <v>0.15282622319121933</v>
      </c>
      <c r="S1778" s="801">
        <f t="shared" si="356"/>
        <v>8900548.3300000001</v>
      </c>
      <c r="T1778" s="971"/>
      <c r="V1778" s="973"/>
      <c r="W1778" s="973"/>
      <c r="X1778" s="833"/>
      <c r="Y1778" s="834"/>
      <c r="Z1778" s="830"/>
      <c r="AA1778" s="831"/>
      <c r="AB1778" s="972">
        <f t="shared" si="343"/>
        <v>0</v>
      </c>
    </row>
    <row r="1779" spans="1:28" x14ac:dyDescent="0.25">
      <c r="A1779" s="84"/>
      <c r="B1779" s="84"/>
      <c r="C1779" s="84"/>
      <c r="D1779" s="84"/>
      <c r="G1779" s="811"/>
      <c r="H1779" s="812"/>
      <c r="I1779" s="812"/>
      <c r="J1779" s="813"/>
      <c r="K1779" s="812"/>
      <c r="L1779" s="814"/>
      <c r="M1779" s="814"/>
      <c r="N1779" s="815"/>
      <c r="O1779" s="814"/>
      <c r="P1779" s="814"/>
      <c r="Q1779" s="814"/>
      <c r="R1779" s="815"/>
      <c r="S1779" s="814"/>
      <c r="T1779" s="84"/>
      <c r="AB1779" s="84">
        <f t="shared" si="331"/>
        <v>0</v>
      </c>
    </row>
    <row r="1780" spans="1:28" x14ac:dyDescent="0.25">
      <c r="E1780" s="784"/>
      <c r="F1780" s="785"/>
      <c r="G1780" s="821" t="s">
        <v>5328</v>
      </c>
      <c r="H1780" s="822"/>
      <c r="I1780" s="822"/>
      <c r="J1780" s="823"/>
      <c r="K1780" s="822"/>
      <c r="L1780" s="824"/>
      <c r="M1780" s="824"/>
      <c r="N1780" s="825"/>
      <c r="O1780" s="824"/>
      <c r="P1780" s="824"/>
      <c r="Q1780" s="824"/>
      <c r="R1780" s="825"/>
      <c r="S1780" s="880"/>
      <c r="AB1780" s="84">
        <f>Z1780-AA1780</f>
        <v>0</v>
      </c>
    </row>
    <row r="1781" spans="1:28" ht="15.75" thickBot="1" x14ac:dyDescent="0.3">
      <c r="E1781" s="791"/>
      <c r="F1781" s="792" t="s">
        <v>235</v>
      </c>
      <c r="G1781" s="793" t="s">
        <v>236</v>
      </c>
      <c r="H1781" s="794">
        <f>H1777</f>
        <v>10506166</v>
      </c>
      <c r="I1781" s="794">
        <f t="shared" ref="I1781:S1781" si="357">I1777</f>
        <v>1605617.67</v>
      </c>
      <c r="J1781" s="795">
        <f t="shared" si="357"/>
        <v>0.15282622319121933</v>
      </c>
      <c r="K1781" s="794">
        <f t="shared" si="357"/>
        <v>8900548.3300000001</v>
      </c>
      <c r="L1781" s="796">
        <f t="shared" si="357"/>
        <v>0</v>
      </c>
      <c r="M1781" s="796">
        <f t="shared" si="357"/>
        <v>0</v>
      </c>
      <c r="N1781" s="797">
        <f t="shared" si="357"/>
        <v>0</v>
      </c>
      <c r="O1781" s="796">
        <f t="shared" si="357"/>
        <v>0</v>
      </c>
      <c r="P1781" s="796">
        <f t="shared" si="357"/>
        <v>10506166</v>
      </c>
      <c r="Q1781" s="796">
        <f t="shared" si="357"/>
        <v>1605617.67</v>
      </c>
      <c r="R1781" s="797">
        <f t="shared" si="357"/>
        <v>0.15282622319121933</v>
      </c>
      <c r="S1781" s="796">
        <f t="shared" si="357"/>
        <v>8900548.3300000001</v>
      </c>
      <c r="AB1781" s="84">
        <f>Z1781-AA1781</f>
        <v>0</v>
      </c>
    </row>
    <row r="1782" spans="1:28" ht="15.75" thickBot="1" x14ac:dyDescent="0.3">
      <c r="G1782" s="798" t="s">
        <v>5329</v>
      </c>
      <c r="H1782" s="799">
        <f>H1778</f>
        <v>10506166</v>
      </c>
      <c r="I1782" s="799">
        <f t="shared" ref="I1782:S1782" si="358">I1778</f>
        <v>1605617.67</v>
      </c>
      <c r="J1782" s="800">
        <f t="shared" si="358"/>
        <v>0.15282622319121933</v>
      </c>
      <c r="K1782" s="799">
        <f t="shared" si="358"/>
        <v>8900548.3300000001</v>
      </c>
      <c r="L1782" s="801">
        <f t="shared" si="358"/>
        <v>0</v>
      </c>
      <c r="M1782" s="801">
        <f t="shared" si="358"/>
        <v>0</v>
      </c>
      <c r="N1782" s="802">
        <f t="shared" si="358"/>
        <v>0</v>
      </c>
      <c r="O1782" s="801">
        <f t="shared" si="358"/>
        <v>0</v>
      </c>
      <c r="P1782" s="801">
        <f t="shared" si="358"/>
        <v>10506166</v>
      </c>
      <c r="Q1782" s="801">
        <f t="shared" si="358"/>
        <v>1605617.67</v>
      </c>
      <c r="R1782" s="802">
        <f t="shared" si="358"/>
        <v>0.15282622319121933</v>
      </c>
      <c r="S1782" s="801">
        <f t="shared" si="358"/>
        <v>8900548.3300000001</v>
      </c>
      <c r="AB1782" s="84">
        <f>Z1782-AA1782</f>
        <v>0</v>
      </c>
    </row>
    <row r="1783" spans="1:28" x14ac:dyDescent="0.25">
      <c r="A1783" s="84"/>
      <c r="B1783" s="84"/>
      <c r="C1783" s="84"/>
      <c r="D1783" s="84"/>
      <c r="G1783" s="811"/>
      <c r="H1783" s="812"/>
      <c r="I1783" s="812"/>
      <c r="J1783" s="813"/>
      <c r="K1783" s="812"/>
      <c r="L1783" s="814"/>
      <c r="M1783" s="814"/>
      <c r="N1783" s="815"/>
      <c r="O1783" s="814"/>
      <c r="P1783" s="814"/>
      <c r="Q1783" s="814"/>
      <c r="R1783" s="815"/>
      <c r="S1783" s="814"/>
      <c r="T1783" s="84"/>
    </row>
    <row r="1784" spans="1:28" x14ac:dyDescent="0.25">
      <c r="A1784" s="84"/>
      <c r="B1784" s="84"/>
      <c r="C1784" s="84"/>
      <c r="D1784" s="84"/>
      <c r="E1784" s="1043"/>
      <c r="F1784" s="1042"/>
      <c r="G1784" s="1065" t="s">
        <v>4810</v>
      </c>
      <c r="H1784" s="822"/>
      <c r="I1784" s="822"/>
      <c r="J1784" s="823"/>
      <c r="K1784" s="822"/>
      <c r="L1784" s="824"/>
      <c r="M1784" s="824"/>
      <c r="N1784" s="825"/>
      <c r="O1784" s="824"/>
      <c r="P1784" s="824"/>
      <c r="Q1784" s="824"/>
      <c r="R1784" s="825"/>
      <c r="S1784" s="880"/>
      <c r="T1784" s="84"/>
      <c r="AB1784" s="84">
        <f t="shared" si="331"/>
        <v>0</v>
      </c>
    </row>
    <row r="1785" spans="1:28" x14ac:dyDescent="0.25">
      <c r="A1785" s="84"/>
      <c r="B1785" s="84"/>
      <c r="C1785" s="84"/>
      <c r="D1785" s="84"/>
      <c r="E1785" s="791"/>
      <c r="F1785" s="1046" t="s">
        <v>235</v>
      </c>
      <c r="G1785" s="1023" t="s">
        <v>236</v>
      </c>
      <c r="H1785" s="794">
        <f>H1745+H1702+H1563+H1323+H1781</f>
        <v>402907990.81</v>
      </c>
      <c r="I1785" s="794" t="e">
        <f>I1745+I1702+I1563+I1323+I1781</f>
        <v>#REF!</v>
      </c>
      <c r="J1785" s="795" t="e">
        <f>I1785/H1785</f>
        <v>#REF!</v>
      </c>
      <c r="K1785" s="794" t="e">
        <f>H1785-I1785</f>
        <v>#REF!</v>
      </c>
      <c r="L1785" s="796">
        <v>0</v>
      </c>
      <c r="M1785" s="796">
        <v>0</v>
      </c>
      <c r="N1785" s="797"/>
      <c r="O1785" s="796">
        <v>0</v>
      </c>
      <c r="P1785" s="796">
        <f>L1785+H1785</f>
        <v>402907990.81</v>
      </c>
      <c r="Q1785" s="796" t="e">
        <f>M1785+I1785</f>
        <v>#REF!</v>
      </c>
      <c r="R1785" s="797" t="e">
        <f>Q1785/P1785</f>
        <v>#REF!</v>
      </c>
      <c r="S1785" s="796" t="e">
        <f>P1785-Q1785</f>
        <v>#REF!</v>
      </c>
      <c r="T1785" s="84"/>
      <c r="AB1785" s="84">
        <f t="shared" si="331"/>
        <v>0</v>
      </c>
    </row>
    <row r="1786" spans="1:28" hidden="1" x14ac:dyDescent="0.25">
      <c r="A1786" s="84"/>
      <c r="B1786" s="84"/>
      <c r="C1786" s="84"/>
      <c r="D1786" s="84"/>
      <c r="F1786" s="1046" t="s">
        <v>237</v>
      </c>
      <c r="G1786" s="1023" t="s">
        <v>238</v>
      </c>
      <c r="S1786" s="796">
        <f>SUM(H1786:L1786)</f>
        <v>0</v>
      </c>
      <c r="T1786" s="84"/>
      <c r="V1786" s="84"/>
      <c r="W1786" s="84"/>
      <c r="X1786" s="1030"/>
      <c r="Y1786" s="1031"/>
      <c r="Z1786" s="1032"/>
      <c r="AA1786" s="1033"/>
      <c r="AB1786" s="84">
        <f t="shared" si="331"/>
        <v>0</v>
      </c>
    </row>
    <row r="1787" spans="1:28" hidden="1" x14ac:dyDescent="0.25">
      <c r="A1787" s="84"/>
      <c r="B1787" s="84"/>
      <c r="C1787" s="84"/>
      <c r="D1787" s="84"/>
      <c r="F1787" s="1046" t="s">
        <v>239</v>
      </c>
      <c r="G1787" s="1023" t="s">
        <v>240</v>
      </c>
      <c r="S1787" s="796">
        <f>SUM(H1787:L1787)</f>
        <v>0</v>
      </c>
      <c r="T1787" s="84"/>
      <c r="V1787" s="84"/>
      <c r="W1787" s="84"/>
      <c r="X1787" s="1030"/>
      <c r="Y1787" s="1031"/>
      <c r="Z1787" s="1032"/>
      <c r="AA1787" s="1033"/>
      <c r="AB1787" s="84">
        <f t="shared" si="331"/>
        <v>0</v>
      </c>
    </row>
    <row r="1788" spans="1:28" x14ac:dyDescent="0.25">
      <c r="A1788" s="84"/>
      <c r="B1788" s="84"/>
      <c r="C1788" s="84"/>
      <c r="D1788" s="84"/>
      <c r="F1788" s="1046" t="s">
        <v>241</v>
      </c>
      <c r="G1788" s="1023" t="s">
        <v>242</v>
      </c>
      <c r="H1788" s="763">
        <v>0</v>
      </c>
      <c r="I1788" s="763">
        <v>0</v>
      </c>
      <c r="K1788" s="763">
        <v>0</v>
      </c>
      <c r="L1788" s="765">
        <f>L1566</f>
        <v>827000</v>
      </c>
      <c r="M1788" s="765">
        <f>M1566+M1705</f>
        <v>368806.57</v>
      </c>
      <c r="N1788" s="766">
        <f>M1788/L1788</f>
        <v>0.4459571584038694</v>
      </c>
      <c r="O1788" s="765">
        <f>L1788-M1788</f>
        <v>458193.43</v>
      </c>
      <c r="P1788" s="765">
        <f>P1566</f>
        <v>827000</v>
      </c>
      <c r="Q1788" s="765">
        <f>M1788+I1788</f>
        <v>368806.57</v>
      </c>
      <c r="R1788" s="766">
        <f>Q1788/P1788</f>
        <v>0.4459571584038694</v>
      </c>
      <c r="S1788" s="796">
        <f t="shared" ref="S1788:S1800" si="359">P1788-Q1788</f>
        <v>458193.43</v>
      </c>
      <c r="T1788" s="84"/>
      <c r="V1788" s="84"/>
      <c r="W1788" s="84"/>
      <c r="X1788" s="1030"/>
      <c r="Y1788" s="1031"/>
      <c r="Z1788" s="1032"/>
      <c r="AA1788" s="1033"/>
      <c r="AB1788" s="84">
        <f t="shared" si="331"/>
        <v>0</v>
      </c>
    </row>
    <row r="1789" spans="1:28" hidden="1" x14ac:dyDescent="0.25">
      <c r="A1789" s="84"/>
      <c r="B1789" s="84"/>
      <c r="C1789" s="84"/>
      <c r="D1789" s="84"/>
      <c r="F1789" s="1046" t="s">
        <v>243</v>
      </c>
      <c r="G1789" s="1023" t="s">
        <v>244</v>
      </c>
      <c r="S1789" s="796">
        <f t="shared" si="359"/>
        <v>0</v>
      </c>
      <c r="T1789" s="84"/>
      <c r="V1789" s="84"/>
      <c r="W1789" s="84"/>
      <c r="X1789" s="1030"/>
      <c r="Y1789" s="1031"/>
      <c r="Z1789" s="1032"/>
      <c r="AA1789" s="1033"/>
      <c r="AB1789" s="84">
        <f t="shared" si="331"/>
        <v>0</v>
      </c>
    </row>
    <row r="1790" spans="1:28" x14ac:dyDescent="0.25">
      <c r="A1790" s="84"/>
      <c r="B1790" s="84"/>
      <c r="C1790" s="84"/>
      <c r="D1790" s="84"/>
      <c r="F1790" s="1046" t="s">
        <v>245</v>
      </c>
      <c r="G1790" s="1023" t="s">
        <v>246</v>
      </c>
      <c r="H1790" s="763">
        <f>H1324</f>
        <v>0</v>
      </c>
      <c r="I1790" s="763">
        <f>I1324</f>
        <v>0</v>
      </c>
      <c r="K1790" s="763">
        <f t="shared" ref="K1790:R1790" si="360">K1324</f>
        <v>0</v>
      </c>
      <c r="L1790" s="765">
        <f t="shared" si="360"/>
        <v>7900000</v>
      </c>
      <c r="M1790" s="765">
        <f t="shared" si="360"/>
        <v>5499097.21</v>
      </c>
      <c r="N1790" s="766">
        <f t="shared" si="360"/>
        <v>0.69608825443037969</v>
      </c>
      <c r="O1790" s="765">
        <f t="shared" si="360"/>
        <v>2400902.79</v>
      </c>
      <c r="P1790" s="765">
        <f t="shared" si="360"/>
        <v>7900000</v>
      </c>
      <c r="Q1790" s="765">
        <f t="shared" si="360"/>
        <v>5499097.21</v>
      </c>
      <c r="R1790" s="766">
        <f t="shared" si="360"/>
        <v>0.69608825443037969</v>
      </c>
      <c r="S1790" s="796">
        <f t="shared" si="359"/>
        <v>2400902.79</v>
      </c>
      <c r="T1790" s="84"/>
      <c r="V1790" s="84"/>
      <c r="W1790" s="84"/>
      <c r="X1790" s="1030"/>
      <c r="Y1790" s="1031"/>
      <c r="Z1790" s="1032"/>
      <c r="AA1790" s="1033"/>
      <c r="AB1790" s="84">
        <f t="shared" si="331"/>
        <v>0</v>
      </c>
    </row>
    <row r="1791" spans="1:28" x14ac:dyDescent="0.25">
      <c r="A1791" s="84"/>
      <c r="B1791" s="84"/>
      <c r="C1791" s="84"/>
      <c r="D1791" s="84"/>
      <c r="F1791" s="1046" t="s">
        <v>247</v>
      </c>
      <c r="G1791" s="1023" t="s">
        <v>4745</v>
      </c>
      <c r="H1791" s="763">
        <v>0</v>
      </c>
      <c r="I1791" s="763">
        <v>0</v>
      </c>
      <c r="K1791" s="763">
        <v>0</v>
      </c>
      <c r="L1791" s="765">
        <f>L1708+L1569+L1325</f>
        <v>75844473.390000001</v>
      </c>
      <c r="M1791" s="765">
        <f>M1708+M1569+M1325</f>
        <v>15195095.73</v>
      </c>
      <c r="N1791" s="766">
        <f>M1791/L1791</f>
        <v>0.20034545762965841</v>
      </c>
      <c r="O1791" s="765">
        <f>L1791-M1791</f>
        <v>60649377.659999996</v>
      </c>
      <c r="P1791" s="765">
        <f>P1708+P1569+P1325</f>
        <v>75844473.390000001</v>
      </c>
      <c r="Q1791" s="765">
        <f>Q1708+Q1569+Q1325</f>
        <v>15195095.73</v>
      </c>
      <c r="R1791" s="766">
        <f>Q1791/P1791</f>
        <v>0.20034545762965841</v>
      </c>
      <c r="S1791" s="796">
        <f t="shared" si="359"/>
        <v>60649377.659999996</v>
      </c>
      <c r="T1791" s="84"/>
      <c r="V1791" s="84"/>
      <c r="W1791" s="84"/>
      <c r="X1791" s="1030"/>
      <c r="Y1791" s="1031"/>
      <c r="Z1791" s="1032"/>
      <c r="AA1791" s="1033"/>
      <c r="AB1791" s="84">
        <f t="shared" si="331"/>
        <v>0</v>
      </c>
    </row>
    <row r="1792" spans="1:28" ht="30" hidden="1" x14ac:dyDescent="0.25">
      <c r="A1792" s="84"/>
      <c r="B1792" s="84"/>
      <c r="C1792" s="84"/>
      <c r="D1792" s="84"/>
      <c r="F1792" s="1046" t="s">
        <v>248</v>
      </c>
      <c r="G1792" s="1023" t="s">
        <v>4744</v>
      </c>
      <c r="S1792" s="796">
        <f t="shared" si="359"/>
        <v>0</v>
      </c>
      <c r="T1792" s="84"/>
      <c r="V1792" s="84"/>
      <c r="W1792" s="84"/>
      <c r="X1792" s="1030"/>
      <c r="Y1792" s="1031"/>
      <c r="Z1792" s="1032"/>
      <c r="AA1792" s="1033"/>
      <c r="AB1792" s="84">
        <f t="shared" si="331"/>
        <v>0</v>
      </c>
    </row>
    <row r="1793" spans="1:28" x14ac:dyDescent="0.25">
      <c r="A1793" s="84"/>
      <c r="B1793" s="84"/>
      <c r="C1793" s="84"/>
      <c r="D1793" s="84"/>
      <c r="F1793" s="1046" t="s">
        <v>249</v>
      </c>
      <c r="G1793" s="1023" t="s">
        <v>58</v>
      </c>
      <c r="H1793" s="763">
        <v>0</v>
      </c>
      <c r="L1793" s="765">
        <f>L1326</f>
        <v>28427</v>
      </c>
      <c r="P1793" s="765">
        <f>P1326</f>
        <v>28427</v>
      </c>
      <c r="S1793" s="796">
        <f t="shared" si="359"/>
        <v>28427</v>
      </c>
      <c r="T1793" s="84"/>
      <c r="V1793" s="84"/>
      <c r="W1793" s="84"/>
      <c r="X1793" s="1030"/>
      <c r="Y1793" s="1031"/>
      <c r="Z1793" s="1032"/>
      <c r="AA1793" s="1033"/>
      <c r="AB1793" s="84">
        <f t="shared" si="331"/>
        <v>0</v>
      </c>
    </row>
    <row r="1794" spans="1:28" x14ac:dyDescent="0.25">
      <c r="A1794" s="84"/>
      <c r="B1794" s="84"/>
      <c r="C1794" s="84"/>
      <c r="D1794" s="84"/>
      <c r="F1794" s="1046" t="s">
        <v>250</v>
      </c>
      <c r="G1794" s="1023" t="s">
        <v>251</v>
      </c>
      <c r="H1794" s="763">
        <v>0</v>
      </c>
      <c r="I1794" s="763">
        <v>0</v>
      </c>
      <c r="K1794" s="763">
        <v>0</v>
      </c>
      <c r="L1794" s="765">
        <f>L1327</f>
        <v>17529792</v>
      </c>
      <c r="M1794" s="765" t="e">
        <f>M1327</f>
        <v>#REF!</v>
      </c>
      <c r="N1794" s="766" t="e">
        <f>M1794/L1794</f>
        <v>#REF!</v>
      </c>
      <c r="O1794" s="765" t="e">
        <f>L1794-M1794</f>
        <v>#REF!</v>
      </c>
      <c r="P1794" s="765">
        <f>P1327</f>
        <v>17529792</v>
      </c>
      <c r="Q1794" s="765" t="e">
        <f>M1794+I1794</f>
        <v>#REF!</v>
      </c>
      <c r="R1794" s="766" t="e">
        <f>Q1794/P1794</f>
        <v>#REF!</v>
      </c>
      <c r="S1794" s="796" t="e">
        <f t="shared" si="359"/>
        <v>#REF!</v>
      </c>
      <c r="T1794" s="84"/>
      <c r="V1794" s="84"/>
      <c r="W1794" s="84"/>
      <c r="X1794" s="1030"/>
      <c r="Y1794" s="1031"/>
      <c r="Z1794" s="1032"/>
      <c r="AA1794" s="1033"/>
      <c r="AB1794" s="84">
        <f t="shared" si="331"/>
        <v>0</v>
      </c>
    </row>
    <row r="1795" spans="1:28" hidden="1" x14ac:dyDescent="0.25">
      <c r="A1795" s="84"/>
      <c r="B1795" s="84"/>
      <c r="C1795" s="84"/>
      <c r="D1795" s="84"/>
      <c r="F1795" s="1046" t="s">
        <v>252</v>
      </c>
      <c r="G1795" s="1023" t="s">
        <v>253</v>
      </c>
      <c r="S1795" s="796">
        <f t="shared" si="359"/>
        <v>0</v>
      </c>
      <c r="T1795" s="84"/>
      <c r="V1795" s="84"/>
      <c r="W1795" s="84"/>
      <c r="X1795" s="1030"/>
      <c r="Y1795" s="1031"/>
      <c r="Z1795" s="1032"/>
      <c r="AA1795" s="1033"/>
      <c r="AB1795" s="84">
        <f t="shared" si="331"/>
        <v>0</v>
      </c>
    </row>
    <row r="1796" spans="1:28" ht="30" hidden="1" x14ac:dyDescent="0.25">
      <c r="A1796" s="84"/>
      <c r="B1796" s="84"/>
      <c r="C1796" s="84"/>
      <c r="D1796" s="84"/>
      <c r="F1796" s="1046" t="s">
        <v>254</v>
      </c>
      <c r="G1796" s="1023" t="s">
        <v>255</v>
      </c>
      <c r="S1796" s="796">
        <f t="shared" si="359"/>
        <v>0</v>
      </c>
      <c r="T1796" s="84"/>
      <c r="V1796" s="84"/>
      <c r="W1796" s="84"/>
      <c r="X1796" s="1030"/>
      <c r="Y1796" s="1031"/>
      <c r="Z1796" s="1032"/>
      <c r="AA1796" s="1033"/>
      <c r="AB1796" s="84">
        <f t="shared" si="331"/>
        <v>0</v>
      </c>
    </row>
    <row r="1797" spans="1:28" x14ac:dyDescent="0.25">
      <c r="A1797" s="84"/>
      <c r="B1797" s="84"/>
      <c r="C1797" s="84"/>
      <c r="D1797" s="84"/>
      <c r="F1797" s="1046" t="s">
        <v>256</v>
      </c>
      <c r="G1797" s="1023" t="s">
        <v>257</v>
      </c>
      <c r="H1797" s="763">
        <v>0</v>
      </c>
      <c r="I1797" s="763">
        <v>0</v>
      </c>
      <c r="K1797" s="763">
        <v>0</v>
      </c>
      <c r="L1797" s="765">
        <f>L1328+L1575+L1746+L1714</f>
        <v>1608508.29</v>
      </c>
      <c r="M1797" s="765">
        <f>M1328+M1575+M1746+M1714</f>
        <v>3039139.86</v>
      </c>
      <c r="N1797" s="766">
        <f>M1797/L1797</f>
        <v>1.8894151052214967</v>
      </c>
      <c r="O1797" s="765">
        <f>L1797-M1797</f>
        <v>-1430631.5699999998</v>
      </c>
      <c r="P1797" s="765">
        <f>P1328+P1575+P1746+P1714</f>
        <v>1608508.29</v>
      </c>
      <c r="Q1797" s="765">
        <f>M1797+I1797</f>
        <v>3039139.86</v>
      </c>
      <c r="R1797" s="766">
        <f>Q1797/P1797</f>
        <v>1.8894151052214967</v>
      </c>
      <c r="S1797" s="796">
        <f t="shared" si="359"/>
        <v>-1430631.5699999998</v>
      </c>
      <c r="T1797" s="84"/>
      <c r="V1797" s="84"/>
      <c r="W1797" s="84"/>
      <c r="X1797" s="1030"/>
      <c r="Y1797" s="1031"/>
      <c r="Z1797" s="1032"/>
      <c r="AA1797" s="1033"/>
      <c r="AB1797" s="84">
        <f t="shared" si="331"/>
        <v>0</v>
      </c>
    </row>
    <row r="1798" spans="1:28" ht="30" hidden="1" x14ac:dyDescent="0.25">
      <c r="A1798" s="84"/>
      <c r="B1798" s="84"/>
      <c r="C1798" s="84"/>
      <c r="D1798" s="84"/>
      <c r="F1798" s="1046" t="s">
        <v>258</v>
      </c>
      <c r="G1798" s="1023" t="s">
        <v>259</v>
      </c>
      <c r="S1798" s="796">
        <f t="shared" si="359"/>
        <v>0</v>
      </c>
      <c r="T1798" s="84"/>
      <c r="V1798" s="84"/>
      <c r="W1798" s="84"/>
      <c r="X1798" s="1030"/>
      <c r="Y1798" s="1031"/>
      <c r="Z1798" s="1032"/>
      <c r="AA1798" s="1033"/>
      <c r="AB1798" s="84">
        <f t="shared" si="331"/>
        <v>0</v>
      </c>
    </row>
    <row r="1799" spans="1:28" ht="30" hidden="1" x14ac:dyDescent="0.25">
      <c r="A1799" s="84"/>
      <c r="B1799" s="84"/>
      <c r="C1799" s="84"/>
      <c r="D1799" s="84"/>
      <c r="F1799" s="1046" t="s">
        <v>260</v>
      </c>
      <c r="G1799" s="1023" t="s">
        <v>261</v>
      </c>
      <c r="S1799" s="796">
        <f t="shared" si="359"/>
        <v>0</v>
      </c>
      <c r="T1799" s="84"/>
      <c r="V1799" s="84"/>
      <c r="W1799" s="84"/>
      <c r="X1799" s="1030"/>
      <c r="Y1799" s="1031"/>
      <c r="Z1799" s="1032"/>
      <c r="AA1799" s="1033"/>
      <c r="AB1799" s="84">
        <f t="shared" si="331"/>
        <v>0</v>
      </c>
    </row>
    <row r="1800" spans="1:28" x14ac:dyDescent="0.25">
      <c r="A1800" s="84"/>
      <c r="B1800" s="84"/>
      <c r="C1800" s="84"/>
      <c r="D1800" s="84"/>
      <c r="F1800" s="1046" t="s">
        <v>262</v>
      </c>
      <c r="G1800" s="1023" t="s">
        <v>263</v>
      </c>
      <c r="H1800" s="794">
        <f>H1717</f>
        <v>0</v>
      </c>
      <c r="I1800" s="794">
        <f>I1717</f>
        <v>0</v>
      </c>
      <c r="J1800" s="795"/>
      <c r="K1800" s="794">
        <f t="shared" ref="K1800:R1800" si="361">K1717</f>
        <v>0</v>
      </c>
      <c r="L1800" s="796">
        <f t="shared" si="361"/>
        <v>1327000</v>
      </c>
      <c r="M1800" s="796">
        <f t="shared" si="361"/>
        <v>876797.64</v>
      </c>
      <c r="N1800" s="797">
        <f t="shared" si="361"/>
        <v>0.66073672946495854</v>
      </c>
      <c r="O1800" s="796">
        <f t="shared" si="361"/>
        <v>450202.36</v>
      </c>
      <c r="P1800" s="796">
        <f t="shared" si="361"/>
        <v>1327000</v>
      </c>
      <c r="Q1800" s="796">
        <f t="shared" si="361"/>
        <v>876797.64</v>
      </c>
      <c r="R1800" s="797">
        <f t="shared" si="361"/>
        <v>0.66073672946495854</v>
      </c>
      <c r="S1800" s="796">
        <f t="shared" si="359"/>
        <v>450202.36</v>
      </c>
      <c r="T1800" s="84"/>
      <c r="V1800" s="84"/>
      <c r="W1800" s="84"/>
      <c r="X1800" s="1030"/>
      <c r="Y1800" s="1031"/>
      <c r="Z1800" s="1032"/>
      <c r="AA1800" s="1033"/>
      <c r="AB1800" s="84">
        <f t="shared" si="331"/>
        <v>0</v>
      </c>
    </row>
    <row r="1801" spans="1:28" ht="15.75" thickBot="1" x14ac:dyDescent="0.3">
      <c r="A1801" s="84"/>
      <c r="B1801" s="84"/>
      <c r="C1801" s="84"/>
      <c r="D1801" s="84"/>
      <c r="F1801" s="1046">
        <v>56</v>
      </c>
      <c r="G1801" s="1023" t="s">
        <v>5482</v>
      </c>
      <c r="H1801" s="794">
        <f t="shared" ref="H1801:K1801" si="362">H1329</f>
        <v>0</v>
      </c>
      <c r="I1801" s="794">
        <f t="shared" si="362"/>
        <v>0</v>
      </c>
      <c r="J1801" s="795">
        <f t="shared" si="362"/>
        <v>0</v>
      </c>
      <c r="K1801" s="794">
        <f t="shared" si="362"/>
        <v>0</v>
      </c>
      <c r="L1801" s="796">
        <f>L1329</f>
        <v>1610000</v>
      </c>
      <c r="M1801" s="796">
        <f t="shared" ref="M1801:P1801" si="363">M1329</f>
        <v>0</v>
      </c>
      <c r="N1801" s="797">
        <f t="shared" si="363"/>
        <v>0</v>
      </c>
      <c r="O1801" s="796">
        <f t="shared" si="363"/>
        <v>0</v>
      </c>
      <c r="P1801" s="796">
        <f t="shared" si="363"/>
        <v>1610000</v>
      </c>
      <c r="Q1801" s="796"/>
      <c r="R1801" s="797"/>
      <c r="S1801" s="796"/>
      <c r="T1801" s="84"/>
      <c r="V1801" s="84"/>
      <c r="W1801" s="84"/>
      <c r="X1801" s="1030"/>
      <c r="Y1801" s="1031"/>
      <c r="Z1801" s="1032"/>
      <c r="AA1801" s="1033"/>
    </row>
    <row r="1802" spans="1:28" ht="15.75" thickBot="1" x14ac:dyDescent="0.3">
      <c r="A1802" s="84"/>
      <c r="B1802" s="84"/>
      <c r="C1802" s="84"/>
      <c r="D1802" s="84"/>
      <c r="G1802" s="798" t="s">
        <v>4812</v>
      </c>
      <c r="H1802" s="799">
        <f>SUM(H1785:H1800)</f>
        <v>402907990.81</v>
      </c>
      <c r="I1802" s="799" t="e">
        <f>SUM(I1785:I1800)</f>
        <v>#REF!</v>
      </c>
      <c r="J1802" s="800" t="e">
        <f>I1802/H1802</f>
        <v>#REF!</v>
      </c>
      <c r="K1802" s="799" t="e">
        <f>H1802-I1802</f>
        <v>#REF!</v>
      </c>
      <c r="L1802" s="801">
        <f>SUM(L1785:L1801)</f>
        <v>106675200.68000001</v>
      </c>
      <c r="M1802" s="801" t="e">
        <f>SUM(M1785:M1800)</f>
        <v>#REF!</v>
      </c>
      <c r="N1802" s="802" t="e">
        <f>M1802/L1802</f>
        <v>#REF!</v>
      </c>
      <c r="O1802" s="801" t="e">
        <f>SUM(O1785:O1800)</f>
        <v>#REF!</v>
      </c>
      <c r="P1802" s="801">
        <f>SUM(P1785:P1801)</f>
        <v>509583191.49000001</v>
      </c>
      <c r="Q1802" s="801" t="e">
        <f>SUM(Q1785:Q1800)</f>
        <v>#REF!</v>
      </c>
      <c r="R1802" s="802" t="e">
        <f>Q1802/P1802</f>
        <v>#REF!</v>
      </c>
      <c r="S1802" s="801" t="e">
        <f>SUM(S1785:S1800)</f>
        <v>#REF!</v>
      </c>
      <c r="T1802" s="84"/>
      <c r="V1802" s="84"/>
      <c r="W1802" s="84"/>
      <c r="X1802" s="1030"/>
      <c r="Y1802" s="1031"/>
      <c r="Z1802" s="1032"/>
      <c r="AA1802" s="1033"/>
      <c r="AB1802" s="84">
        <f t="shared" si="331"/>
        <v>0</v>
      </c>
    </row>
    <row r="1803" spans="1:28" x14ac:dyDescent="0.25">
      <c r="A1803" s="84"/>
      <c r="B1803" s="84"/>
      <c r="C1803" s="84"/>
      <c r="D1803" s="84"/>
      <c r="G1803" s="811"/>
      <c r="H1803" s="812"/>
      <c r="I1803" s="812"/>
      <c r="J1803" s="813"/>
      <c r="K1803" s="812"/>
      <c r="L1803" s="814"/>
      <c r="M1803" s="814"/>
      <c r="N1803" s="815"/>
      <c r="O1803" s="814"/>
      <c r="P1803" s="814"/>
      <c r="Q1803" s="814"/>
      <c r="R1803" s="815"/>
      <c r="S1803" s="814"/>
      <c r="T1803" s="84"/>
      <c r="V1803" s="84"/>
      <c r="W1803" s="84"/>
      <c r="X1803" s="1030"/>
      <c r="Y1803" s="1031"/>
      <c r="Z1803" s="1032"/>
      <c r="AA1803" s="1033"/>
      <c r="AB1803" s="84">
        <f t="shared" si="331"/>
        <v>0</v>
      </c>
    </row>
    <row r="1804" spans="1:28" hidden="1" x14ac:dyDescent="0.25">
      <c r="A1804" s="84"/>
      <c r="B1804" s="84"/>
      <c r="C1804" s="84"/>
      <c r="D1804" s="84"/>
      <c r="G1804" s="811"/>
      <c r="H1804" s="812"/>
      <c r="I1804" s="812"/>
      <c r="J1804" s="813"/>
      <c r="K1804" s="812"/>
      <c r="L1804" s="814"/>
      <c r="M1804" s="814"/>
      <c r="N1804" s="815"/>
      <c r="O1804" s="814"/>
      <c r="P1804" s="814"/>
      <c r="Q1804" s="814"/>
      <c r="R1804" s="815"/>
      <c r="S1804" s="814"/>
      <c r="T1804" s="84"/>
      <c r="V1804" s="84"/>
      <c r="W1804" s="84"/>
      <c r="X1804" s="1030"/>
      <c r="Y1804" s="1031"/>
      <c r="Z1804" s="1032"/>
      <c r="AA1804" s="1033"/>
      <c r="AB1804" s="84">
        <f t="shared" si="331"/>
        <v>0</v>
      </c>
    </row>
    <row r="1805" spans="1:28" x14ac:dyDescent="0.25">
      <c r="A1805" s="84"/>
      <c r="B1805" s="84"/>
      <c r="C1805" s="84"/>
      <c r="D1805" s="84"/>
      <c r="E1805" s="1043"/>
      <c r="F1805" s="1042"/>
      <c r="G1805" s="1065" t="s">
        <v>4811</v>
      </c>
      <c r="H1805" s="822"/>
      <c r="I1805" s="822"/>
      <c r="J1805" s="823"/>
      <c r="K1805" s="822"/>
      <c r="L1805" s="824"/>
      <c r="M1805" s="824"/>
      <c r="N1805" s="825"/>
      <c r="O1805" s="824"/>
      <c r="P1805" s="824"/>
      <c r="Q1805" s="824"/>
      <c r="R1805" s="825"/>
      <c r="S1805" s="880"/>
      <c r="T1805" s="84"/>
      <c r="V1805" s="84"/>
      <c r="W1805" s="84"/>
      <c r="X1805" s="1030"/>
      <c r="Y1805" s="1031"/>
      <c r="Z1805" s="1032"/>
      <c r="AA1805" s="1033"/>
      <c r="AB1805" s="84">
        <f t="shared" si="331"/>
        <v>0</v>
      </c>
    </row>
    <row r="1806" spans="1:28" x14ac:dyDescent="0.25">
      <c r="A1806" s="84"/>
      <c r="B1806" s="84"/>
      <c r="C1806" s="84"/>
      <c r="D1806" s="84"/>
      <c r="E1806" s="791"/>
      <c r="F1806" s="1046" t="s">
        <v>235</v>
      </c>
      <c r="G1806" s="1023" t="s">
        <v>236</v>
      </c>
      <c r="H1806" s="794">
        <f>H1785+H330+H178</f>
        <v>417859748.81</v>
      </c>
      <c r="I1806" s="794" t="e">
        <f>I1785+I330+I178</f>
        <v>#REF!</v>
      </c>
      <c r="J1806" s="795" t="e">
        <f>I1806/H1806</f>
        <v>#REF!</v>
      </c>
      <c r="K1806" s="794" t="e">
        <f>H1806-I1806</f>
        <v>#REF!</v>
      </c>
      <c r="L1806" s="796">
        <v>0</v>
      </c>
      <c r="M1806" s="796">
        <v>0</v>
      </c>
      <c r="N1806" s="797">
        <v>0</v>
      </c>
      <c r="O1806" s="796">
        <f>L1806-M1806</f>
        <v>0</v>
      </c>
      <c r="P1806" s="796">
        <f>L1806+H1806</f>
        <v>417859748.81</v>
      </c>
      <c r="Q1806" s="796" t="e">
        <f>M1806+I1806</f>
        <v>#REF!</v>
      </c>
      <c r="R1806" s="797" t="e">
        <f>Q1806/P1806</f>
        <v>#REF!</v>
      </c>
      <c r="S1806" s="796" t="e">
        <f>P1806-Q1806</f>
        <v>#REF!</v>
      </c>
      <c r="T1806" s="84"/>
      <c r="V1806" s="84"/>
      <c r="W1806" s="84"/>
      <c r="X1806" s="1030"/>
      <c r="Y1806" s="1031"/>
      <c r="Z1806" s="1032"/>
      <c r="AA1806" s="1033"/>
      <c r="AB1806" s="84">
        <f t="shared" si="331"/>
        <v>0</v>
      </c>
    </row>
    <row r="1807" spans="1:28" hidden="1" x14ac:dyDescent="0.25">
      <c r="A1807" s="84"/>
      <c r="B1807" s="84"/>
      <c r="C1807" s="84"/>
      <c r="D1807" s="84"/>
      <c r="F1807" s="1046" t="s">
        <v>237</v>
      </c>
      <c r="G1807" s="1023" t="s">
        <v>238</v>
      </c>
      <c r="S1807" s="796">
        <f>SUM(H1807:L1807)</f>
        <v>0</v>
      </c>
      <c r="T1807" s="84"/>
      <c r="V1807" s="84"/>
      <c r="W1807" s="84"/>
      <c r="X1807" s="1030"/>
      <c r="Y1807" s="1031"/>
      <c r="Z1807" s="1032"/>
      <c r="AA1807" s="1033"/>
      <c r="AB1807" s="84">
        <f t="shared" si="331"/>
        <v>0</v>
      </c>
    </row>
    <row r="1808" spans="1:28" hidden="1" x14ac:dyDescent="0.25">
      <c r="A1808" s="84"/>
      <c r="B1808" s="84"/>
      <c r="C1808" s="84"/>
      <c r="D1808" s="84"/>
      <c r="F1808" s="1046" t="s">
        <v>239</v>
      </c>
      <c r="G1808" s="1023" t="s">
        <v>240</v>
      </c>
      <c r="S1808" s="796">
        <f>SUM(H1808:L1808)</f>
        <v>0</v>
      </c>
      <c r="T1808" s="84"/>
      <c r="V1808" s="84"/>
      <c r="W1808" s="84"/>
      <c r="X1808" s="1030"/>
      <c r="Y1808" s="1031"/>
      <c r="Z1808" s="1032"/>
      <c r="AA1808" s="1033"/>
      <c r="AB1808" s="84">
        <f t="shared" si="331"/>
        <v>0</v>
      </c>
    </row>
    <row r="1809" spans="1:30" x14ac:dyDescent="0.25">
      <c r="A1809" s="84"/>
      <c r="B1809" s="84"/>
      <c r="C1809" s="84"/>
      <c r="D1809" s="84"/>
      <c r="F1809" s="1046" t="s">
        <v>241</v>
      </c>
      <c r="G1809" s="1023" t="s">
        <v>242</v>
      </c>
      <c r="H1809" s="763">
        <v>0</v>
      </c>
      <c r="I1809" s="763">
        <v>0</v>
      </c>
      <c r="K1809" s="763">
        <v>0</v>
      </c>
      <c r="L1809" s="765">
        <f>L1788</f>
        <v>827000</v>
      </c>
      <c r="M1809" s="765">
        <f>M1788</f>
        <v>368806.57</v>
      </c>
      <c r="N1809" s="766">
        <f>M1809/L1809</f>
        <v>0.4459571584038694</v>
      </c>
      <c r="O1809" s="765">
        <f>L1809-M1809</f>
        <v>458193.43</v>
      </c>
      <c r="P1809" s="765">
        <f>L1809+H1809</f>
        <v>827000</v>
      </c>
      <c r="Q1809" s="765">
        <f>M1809+I1809</f>
        <v>368806.57</v>
      </c>
      <c r="R1809" s="766">
        <f>Q1809/P1809</f>
        <v>0.4459571584038694</v>
      </c>
      <c r="S1809" s="796">
        <f t="shared" ref="S1809:S1821" si="364">P1809-Q1809</f>
        <v>458193.43</v>
      </c>
      <c r="T1809" s="84"/>
      <c r="V1809" s="84"/>
      <c r="W1809" s="84"/>
      <c r="X1809" s="1030"/>
      <c r="Y1809" s="1031"/>
      <c r="Z1809" s="1032"/>
      <c r="AA1809" s="1033"/>
      <c r="AB1809" s="84">
        <f t="shared" si="331"/>
        <v>0</v>
      </c>
    </row>
    <row r="1810" spans="1:30" hidden="1" x14ac:dyDescent="0.25">
      <c r="A1810" s="84"/>
      <c r="B1810" s="84"/>
      <c r="C1810" s="84"/>
      <c r="D1810" s="84"/>
      <c r="F1810" s="1046" t="s">
        <v>243</v>
      </c>
      <c r="G1810" s="1023" t="s">
        <v>244</v>
      </c>
      <c r="S1810" s="796">
        <f t="shared" si="364"/>
        <v>0</v>
      </c>
      <c r="T1810" s="84"/>
      <c r="V1810" s="84"/>
      <c r="W1810" s="84"/>
      <c r="X1810" s="1030"/>
      <c r="Y1810" s="1031"/>
      <c r="Z1810" s="1032"/>
      <c r="AA1810" s="1033"/>
      <c r="AB1810" s="84">
        <f t="shared" si="331"/>
        <v>0</v>
      </c>
    </row>
    <row r="1811" spans="1:30" x14ac:dyDescent="0.25">
      <c r="A1811" s="84"/>
      <c r="B1811" s="84"/>
      <c r="C1811" s="84"/>
      <c r="D1811" s="84"/>
      <c r="F1811" s="1046" t="s">
        <v>245</v>
      </c>
      <c r="G1811" s="1023" t="s">
        <v>246</v>
      </c>
      <c r="H1811" s="763">
        <f>H1790</f>
        <v>0</v>
      </c>
      <c r="I1811" s="763">
        <f t="shared" ref="I1811:R1811" si="365">I1790</f>
        <v>0</v>
      </c>
      <c r="K1811" s="763">
        <f t="shared" si="365"/>
        <v>0</v>
      </c>
      <c r="L1811" s="765">
        <f>L1790</f>
        <v>7900000</v>
      </c>
      <c r="M1811" s="765">
        <f t="shared" si="365"/>
        <v>5499097.21</v>
      </c>
      <c r="N1811" s="766">
        <f t="shared" si="365"/>
        <v>0.69608825443037969</v>
      </c>
      <c r="O1811" s="765">
        <f t="shared" si="365"/>
        <v>2400902.79</v>
      </c>
      <c r="P1811" s="765">
        <f t="shared" si="365"/>
        <v>7900000</v>
      </c>
      <c r="Q1811" s="765">
        <f t="shared" si="365"/>
        <v>5499097.21</v>
      </c>
      <c r="R1811" s="766">
        <f t="shared" si="365"/>
        <v>0.69608825443037969</v>
      </c>
      <c r="S1811" s="796">
        <f t="shared" si="364"/>
        <v>2400902.79</v>
      </c>
      <c r="T1811" s="84"/>
      <c r="V1811" s="84"/>
      <c r="W1811" s="84"/>
      <c r="X1811" s="1030"/>
      <c r="Y1811" s="1031"/>
      <c r="Z1811" s="1032"/>
      <c r="AA1811" s="1033"/>
      <c r="AB1811" s="84">
        <f t="shared" si="331"/>
        <v>0</v>
      </c>
      <c r="AD1811" s="203">
        <f>SUM(AA353:AA1733)</f>
        <v>385701831.83999997</v>
      </c>
    </row>
    <row r="1812" spans="1:30" x14ac:dyDescent="0.25">
      <c r="A1812" s="84"/>
      <c r="B1812" s="84"/>
      <c r="C1812" s="84"/>
      <c r="D1812" s="84"/>
      <c r="F1812" s="1046" t="s">
        <v>247</v>
      </c>
      <c r="G1812" s="1023" t="s">
        <v>4745</v>
      </c>
      <c r="H1812" s="763">
        <v>0</v>
      </c>
      <c r="I1812" s="763">
        <v>0</v>
      </c>
      <c r="K1812" s="763">
        <v>0</v>
      </c>
      <c r="L1812" s="765">
        <f>L1791</f>
        <v>75844473.390000001</v>
      </c>
      <c r="M1812" s="765">
        <f>M1791</f>
        <v>15195095.73</v>
      </c>
      <c r="N1812" s="766">
        <f>M1812/L1812</f>
        <v>0.20034545762965841</v>
      </c>
      <c r="O1812" s="765">
        <f>L1812-M1812</f>
        <v>60649377.659999996</v>
      </c>
      <c r="P1812" s="765">
        <f t="shared" ref="P1812:Q1815" si="366">L1812+H1812</f>
        <v>75844473.390000001</v>
      </c>
      <c r="Q1812" s="765">
        <f t="shared" si="366"/>
        <v>15195095.73</v>
      </c>
      <c r="R1812" s="766">
        <f>Q1812/P1812</f>
        <v>0.20034545762965841</v>
      </c>
      <c r="S1812" s="796">
        <f t="shared" si="364"/>
        <v>60649377.659999996</v>
      </c>
      <c r="T1812" s="84"/>
      <c r="V1812" s="84"/>
      <c r="W1812" s="84"/>
      <c r="X1812" s="1030"/>
      <c r="Y1812" s="1031"/>
      <c r="Z1812" s="1032"/>
      <c r="AA1812" s="1033"/>
      <c r="AB1812" s="84">
        <f t="shared" si="331"/>
        <v>0</v>
      </c>
    </row>
    <row r="1813" spans="1:30" ht="30" hidden="1" x14ac:dyDescent="0.25">
      <c r="A1813" s="84"/>
      <c r="B1813" s="84"/>
      <c r="C1813" s="84"/>
      <c r="D1813" s="84"/>
      <c r="F1813" s="1046" t="s">
        <v>248</v>
      </c>
      <c r="G1813" s="1023" t="s">
        <v>4744</v>
      </c>
      <c r="H1813" s="763">
        <v>0</v>
      </c>
      <c r="I1813" s="763">
        <v>0</v>
      </c>
      <c r="K1813" s="763">
        <v>0</v>
      </c>
      <c r="N1813" s="766" t="e">
        <f>M1813/L1813</f>
        <v>#DIV/0!</v>
      </c>
      <c r="O1813" s="765">
        <f>L1813-M1813</f>
        <v>0</v>
      </c>
      <c r="P1813" s="765">
        <f t="shared" si="366"/>
        <v>0</v>
      </c>
      <c r="Q1813" s="765">
        <f t="shared" si="366"/>
        <v>0</v>
      </c>
      <c r="R1813" s="766" t="e">
        <f>Q1813/P1813</f>
        <v>#DIV/0!</v>
      </c>
      <c r="S1813" s="796">
        <f t="shared" si="364"/>
        <v>0</v>
      </c>
      <c r="T1813" s="84"/>
      <c r="V1813" s="84"/>
      <c r="W1813" s="84"/>
      <c r="X1813" s="1030"/>
      <c r="Y1813" s="1031"/>
      <c r="Z1813" s="1032"/>
      <c r="AA1813" s="1033"/>
      <c r="AB1813" s="84">
        <f t="shared" si="331"/>
        <v>0</v>
      </c>
    </row>
    <row r="1814" spans="1:30" x14ac:dyDescent="0.25">
      <c r="A1814" s="84"/>
      <c r="B1814" s="84"/>
      <c r="C1814" s="84"/>
      <c r="D1814" s="84"/>
      <c r="E1814" s="994"/>
      <c r="F1814" s="1046" t="s">
        <v>249</v>
      </c>
      <c r="G1814" s="1023" t="s">
        <v>58</v>
      </c>
      <c r="H1814" s="763">
        <v>0</v>
      </c>
      <c r="I1814" s="763">
        <v>0</v>
      </c>
      <c r="K1814" s="763">
        <v>0</v>
      </c>
      <c r="L1814" s="765">
        <f>L1793</f>
        <v>28427</v>
      </c>
      <c r="N1814" s="766">
        <f>M1814/L1814</f>
        <v>0</v>
      </c>
      <c r="O1814" s="765">
        <f>L1814-M1814</f>
        <v>28427</v>
      </c>
      <c r="P1814" s="765">
        <f>P1793</f>
        <v>28427</v>
      </c>
      <c r="Q1814" s="765">
        <f t="shared" si="366"/>
        <v>0</v>
      </c>
      <c r="R1814" s="766">
        <f>Q1814/P1814</f>
        <v>0</v>
      </c>
      <c r="S1814" s="796">
        <f t="shared" si="364"/>
        <v>28427</v>
      </c>
      <c r="T1814" s="84"/>
      <c r="V1814" s="84"/>
      <c r="W1814" s="84"/>
      <c r="X1814" s="1030"/>
      <c r="Y1814" s="1031"/>
      <c r="Z1814" s="1032"/>
      <c r="AA1814" s="1033"/>
      <c r="AB1814" s="84">
        <f t="shared" si="331"/>
        <v>0</v>
      </c>
    </row>
    <row r="1815" spans="1:30" x14ac:dyDescent="0.25">
      <c r="A1815" s="84"/>
      <c r="B1815" s="84"/>
      <c r="C1815" s="84"/>
      <c r="D1815" s="84"/>
      <c r="E1815" s="994"/>
      <c r="F1815" s="1046" t="s">
        <v>250</v>
      </c>
      <c r="G1815" s="1023" t="s">
        <v>251</v>
      </c>
      <c r="H1815" s="763">
        <v>0</v>
      </c>
      <c r="I1815" s="763">
        <v>0</v>
      </c>
      <c r="K1815" s="763">
        <v>0</v>
      </c>
      <c r="L1815" s="765">
        <f>L1794</f>
        <v>17529792</v>
      </c>
      <c r="M1815" s="765" t="e">
        <f>M1794</f>
        <v>#REF!</v>
      </c>
      <c r="N1815" s="766" t="e">
        <f>M1815/L1815</f>
        <v>#REF!</v>
      </c>
      <c r="O1815" s="765" t="e">
        <f>L1815-M1815</f>
        <v>#REF!</v>
      </c>
      <c r="P1815" s="765">
        <f t="shared" si="366"/>
        <v>17529792</v>
      </c>
      <c r="Q1815" s="765" t="e">
        <f>M1815+I1815</f>
        <v>#REF!</v>
      </c>
      <c r="R1815" s="766" t="e">
        <f>Q1815/P1815</f>
        <v>#REF!</v>
      </c>
      <c r="S1815" s="796" t="e">
        <f t="shared" si="364"/>
        <v>#REF!</v>
      </c>
      <c r="T1815" s="84"/>
      <c r="V1815" s="84"/>
      <c r="W1815" s="84"/>
      <c r="X1815" s="1030"/>
      <c r="Y1815" s="1031"/>
      <c r="Z1815" s="1032"/>
      <c r="AA1815" s="1033"/>
      <c r="AB1815" s="84">
        <f t="shared" si="331"/>
        <v>0</v>
      </c>
    </row>
    <row r="1816" spans="1:30" hidden="1" x14ac:dyDescent="0.25">
      <c r="A1816" s="84"/>
      <c r="B1816" s="84"/>
      <c r="C1816" s="84"/>
      <c r="D1816" s="84"/>
      <c r="E1816" s="994"/>
      <c r="F1816" s="1046" t="s">
        <v>252</v>
      </c>
      <c r="G1816" s="1023" t="s">
        <v>253</v>
      </c>
      <c r="S1816" s="796">
        <f t="shared" si="364"/>
        <v>0</v>
      </c>
      <c r="T1816" s="84"/>
      <c r="V1816" s="84"/>
      <c r="W1816" s="84"/>
      <c r="X1816" s="1030"/>
      <c r="Y1816" s="1031"/>
      <c r="Z1816" s="1032"/>
      <c r="AA1816" s="1033"/>
      <c r="AB1816" s="84">
        <f t="shared" si="331"/>
        <v>0</v>
      </c>
    </row>
    <row r="1817" spans="1:30" ht="30" hidden="1" x14ac:dyDescent="0.25">
      <c r="A1817" s="84"/>
      <c r="B1817" s="84"/>
      <c r="C1817" s="84"/>
      <c r="D1817" s="84"/>
      <c r="E1817" s="994"/>
      <c r="F1817" s="1046" t="s">
        <v>254</v>
      </c>
      <c r="G1817" s="1023" t="s">
        <v>255</v>
      </c>
      <c r="S1817" s="796">
        <f t="shared" si="364"/>
        <v>0</v>
      </c>
      <c r="T1817" s="84"/>
      <c r="V1817" s="84"/>
      <c r="W1817" s="84"/>
      <c r="X1817" s="1030"/>
      <c r="Y1817" s="1031"/>
      <c r="Z1817" s="1032"/>
      <c r="AA1817" s="1033"/>
      <c r="AB1817" s="84">
        <f t="shared" si="331"/>
        <v>0</v>
      </c>
    </row>
    <row r="1818" spans="1:30" x14ac:dyDescent="0.25">
      <c r="A1818" s="84"/>
      <c r="B1818" s="84"/>
      <c r="C1818" s="84"/>
      <c r="D1818" s="84"/>
      <c r="E1818" s="994"/>
      <c r="F1818" s="1046" t="s">
        <v>256</v>
      </c>
      <c r="G1818" s="1023" t="s">
        <v>257</v>
      </c>
      <c r="H1818" s="763">
        <v>0</v>
      </c>
      <c r="I1818" s="763">
        <v>0</v>
      </c>
      <c r="K1818" s="763">
        <v>0</v>
      </c>
      <c r="L1818" s="765">
        <f>L1797+L190</f>
        <v>1608508.29</v>
      </c>
      <c r="M1818" s="765">
        <f>M1797</f>
        <v>3039139.86</v>
      </c>
      <c r="N1818" s="766">
        <f>M1818/L1818</f>
        <v>1.8894151052214967</v>
      </c>
      <c r="O1818" s="765">
        <f>L1818-M1818</f>
        <v>-1430631.5699999998</v>
      </c>
      <c r="P1818" s="765">
        <f>L1818+H1818</f>
        <v>1608508.29</v>
      </c>
      <c r="Q1818" s="765">
        <f>M1818+I1818</f>
        <v>3039139.86</v>
      </c>
      <c r="R1818" s="766">
        <f>Q1818/P1818</f>
        <v>1.8894151052214967</v>
      </c>
      <c r="S1818" s="796">
        <f t="shared" si="364"/>
        <v>-1430631.5699999998</v>
      </c>
      <c r="T1818" s="84"/>
      <c r="V1818" s="84"/>
      <c r="W1818" s="84"/>
      <c r="X1818" s="1030"/>
      <c r="Y1818" s="1031"/>
      <c r="Z1818" s="1032"/>
      <c r="AA1818" s="1033"/>
      <c r="AB1818" s="84">
        <f t="shared" si="331"/>
        <v>0</v>
      </c>
    </row>
    <row r="1819" spans="1:30" ht="30" hidden="1" x14ac:dyDescent="0.25">
      <c r="A1819" s="84"/>
      <c r="B1819" s="84"/>
      <c r="C1819" s="84"/>
      <c r="D1819" s="84"/>
      <c r="E1819" s="994"/>
      <c r="F1819" s="1046" t="s">
        <v>258</v>
      </c>
      <c r="G1819" s="1023" t="s">
        <v>259</v>
      </c>
      <c r="S1819" s="796">
        <f t="shared" si="364"/>
        <v>0</v>
      </c>
      <c r="T1819" s="84"/>
      <c r="AB1819" s="84">
        <f t="shared" si="331"/>
        <v>0</v>
      </c>
    </row>
    <row r="1820" spans="1:30" ht="30" hidden="1" x14ac:dyDescent="0.25">
      <c r="A1820" s="84"/>
      <c r="B1820" s="84"/>
      <c r="C1820" s="84"/>
      <c r="D1820" s="84"/>
      <c r="E1820" s="994"/>
      <c r="F1820" s="1046" t="s">
        <v>260</v>
      </c>
      <c r="G1820" s="1023" t="s">
        <v>261</v>
      </c>
      <c r="S1820" s="796">
        <f t="shared" si="364"/>
        <v>0</v>
      </c>
      <c r="T1820" s="84"/>
      <c r="AB1820" s="84">
        <f t="shared" si="331"/>
        <v>0</v>
      </c>
    </row>
    <row r="1821" spans="1:30" x14ac:dyDescent="0.25">
      <c r="A1821" s="84"/>
      <c r="B1821" s="84"/>
      <c r="C1821" s="84"/>
      <c r="D1821" s="84"/>
      <c r="E1821" s="994"/>
      <c r="F1821" s="1046" t="s">
        <v>262</v>
      </c>
      <c r="G1821" s="1023" t="s">
        <v>263</v>
      </c>
      <c r="H1821" s="794">
        <f>H1800</f>
        <v>0</v>
      </c>
      <c r="I1821" s="794">
        <f t="shared" ref="I1821:R1821" si="367">I1800</f>
        <v>0</v>
      </c>
      <c r="J1821" s="795"/>
      <c r="K1821" s="794">
        <f t="shared" si="367"/>
        <v>0</v>
      </c>
      <c r="L1821" s="796">
        <f t="shared" si="367"/>
        <v>1327000</v>
      </c>
      <c r="M1821" s="796">
        <f t="shared" si="367"/>
        <v>876797.64</v>
      </c>
      <c r="N1821" s="797">
        <f t="shared" si="367"/>
        <v>0.66073672946495854</v>
      </c>
      <c r="O1821" s="796">
        <f t="shared" si="367"/>
        <v>450202.36</v>
      </c>
      <c r="P1821" s="796">
        <f t="shared" si="367"/>
        <v>1327000</v>
      </c>
      <c r="Q1821" s="796">
        <f t="shared" si="367"/>
        <v>876797.64</v>
      </c>
      <c r="R1821" s="797">
        <f t="shared" si="367"/>
        <v>0.66073672946495854</v>
      </c>
      <c r="S1821" s="796">
        <f t="shared" si="364"/>
        <v>450202.36</v>
      </c>
      <c r="T1821" s="84"/>
      <c r="AB1821" s="84">
        <f>Z1821-AA1821</f>
        <v>0</v>
      </c>
    </row>
    <row r="1822" spans="1:30" ht="15.75" thickBot="1" x14ac:dyDescent="0.3">
      <c r="A1822" s="84"/>
      <c r="B1822" s="84"/>
      <c r="C1822" s="84"/>
      <c r="D1822" s="84"/>
      <c r="E1822" s="994"/>
      <c r="F1822" s="1046">
        <v>56</v>
      </c>
      <c r="G1822" s="1023" t="s">
        <v>5482</v>
      </c>
      <c r="H1822" s="794">
        <v>0</v>
      </c>
      <c r="I1822" s="794"/>
      <c r="J1822" s="795"/>
      <c r="K1822" s="794"/>
      <c r="L1822" s="796">
        <f>L1801</f>
        <v>1610000</v>
      </c>
      <c r="M1822" s="796"/>
      <c r="N1822" s="797"/>
      <c r="O1822" s="796"/>
      <c r="P1822" s="796">
        <f>SUM(H1822:L1822)</f>
        <v>1610000</v>
      </c>
      <c r="Q1822" s="796"/>
      <c r="R1822" s="797"/>
      <c r="S1822" s="796"/>
      <c r="T1822" s="84"/>
    </row>
    <row r="1823" spans="1:30" ht="15.75" thickBot="1" x14ac:dyDescent="0.3">
      <c r="A1823" s="84"/>
      <c r="B1823" s="84"/>
      <c r="C1823" s="84"/>
      <c r="D1823" s="84"/>
      <c r="E1823" s="994"/>
      <c r="G1823" s="798" t="s">
        <v>4813</v>
      </c>
      <c r="H1823" s="799">
        <f>SUM(H1806:H1815)</f>
        <v>417859748.81</v>
      </c>
      <c r="I1823" s="799" t="e">
        <f>SUM(I1806:I1815)</f>
        <v>#REF!</v>
      </c>
      <c r="J1823" s="800" t="e">
        <f>I1823/H1823</f>
        <v>#REF!</v>
      </c>
      <c r="K1823" s="799" t="e">
        <f>H1823-I1823</f>
        <v>#REF!</v>
      </c>
      <c r="L1823" s="801">
        <f>SUM(L1806:L1822)</f>
        <v>106675200.68000001</v>
      </c>
      <c r="M1823" s="801" t="e">
        <f>SUM(M1806:M1821)</f>
        <v>#REF!</v>
      </c>
      <c r="N1823" s="802" t="e">
        <f>M1823/L1823</f>
        <v>#REF!</v>
      </c>
      <c r="O1823" s="801" t="e">
        <f>SUM(O1806:O1821)</f>
        <v>#REF!</v>
      </c>
      <c r="P1823" s="801">
        <f>SUM(P1806:P1822)</f>
        <v>524534949.49000001</v>
      </c>
      <c r="Q1823" s="801" t="e">
        <f>SUM(Q1806:Q1821)</f>
        <v>#REF!</v>
      </c>
      <c r="R1823" s="802" t="e">
        <f>Q1823/P1823</f>
        <v>#REF!</v>
      </c>
      <c r="S1823" s="801" t="e">
        <f>SUM(S1806:S1821)</f>
        <v>#REF!</v>
      </c>
      <c r="T1823" s="84"/>
      <c r="X1823" s="833">
        <f>SUM(X14:X1821)</f>
        <v>18224310.739999998</v>
      </c>
      <c r="Y1823" s="834">
        <f>SUM(Y14:Y1821)</f>
        <v>18805607.919999998</v>
      </c>
      <c r="Z1823" s="830">
        <f>Y1823-X1823</f>
        <v>581297.1799999997</v>
      </c>
      <c r="AA1823" s="831">
        <f>SUM(AA20:AA1821)</f>
        <v>402563833.90999991</v>
      </c>
      <c r="AB1823" s="84">
        <f>Z1823-AA1823</f>
        <v>-401982536.7299999</v>
      </c>
    </row>
    <row r="1824" spans="1:30" x14ac:dyDescent="0.25">
      <c r="Z1824" s="830">
        <f>SUM(Z20:Z1821)</f>
        <v>415555045.99000013</v>
      </c>
      <c r="AA1824" s="831">
        <v>393494972.59999996</v>
      </c>
      <c r="AB1824" s="203">
        <f>SUM(AB20:AB1823)</f>
        <v>-393338998.5399999</v>
      </c>
    </row>
    <row r="1826" spans="1:32" hidden="1" x14ac:dyDescent="0.25">
      <c r="H1826" s="1171" t="s">
        <v>5061</v>
      </c>
      <c r="I1826" s="1171"/>
      <c r="P1826" s="1171" t="s">
        <v>5060</v>
      </c>
      <c r="Q1826" s="1171"/>
    </row>
    <row r="1827" spans="1:32" x14ac:dyDescent="0.25">
      <c r="H1827" s="1072">
        <f>H1829+H1833+H1865+H1872+H1877+H1880</f>
        <v>-4.6566128730773926E-10</v>
      </c>
    </row>
    <row r="1828" spans="1:32" hidden="1" x14ac:dyDescent="0.25">
      <c r="H1828" s="1073"/>
      <c r="I1828" s="1073"/>
      <c r="P1828" s="1074"/>
      <c r="Q1828" s="1074"/>
    </row>
    <row r="1829" spans="1:32" x14ac:dyDescent="0.25">
      <c r="A1829" s="84"/>
      <c r="B1829" s="84"/>
      <c r="C1829" s="84"/>
      <c r="D1829" s="84"/>
      <c r="E1829" s="84"/>
      <c r="F1829" s="84"/>
      <c r="G1829" s="1075">
        <v>711121</v>
      </c>
      <c r="H1829" s="1076">
        <f>SUM(H1830:H1832)</f>
        <v>0</v>
      </c>
    </row>
    <row r="1830" spans="1:32" x14ac:dyDescent="0.25">
      <c r="A1830" s="84"/>
      <c r="B1830" s="84"/>
      <c r="C1830" s="84">
        <v>300</v>
      </c>
      <c r="D1830" s="84"/>
      <c r="E1830" s="84"/>
      <c r="F1830" s="84"/>
      <c r="H1830" s="1087">
        <v>300000</v>
      </c>
      <c r="T1830" s="827" t="s">
        <v>5490</v>
      </c>
    </row>
    <row r="1831" spans="1:32" x14ac:dyDescent="0.25">
      <c r="A1831" s="84"/>
      <c r="B1831" s="84"/>
      <c r="C1831" s="84">
        <v>500</v>
      </c>
      <c r="D1831" s="84"/>
      <c r="E1831" s="84"/>
      <c r="F1831" s="84"/>
      <c r="H1831" s="1088">
        <v>-300000</v>
      </c>
    </row>
    <row r="1832" spans="1:32" x14ac:dyDescent="0.25">
      <c r="A1832" s="84"/>
      <c r="B1832" s="84"/>
      <c r="C1832" s="84"/>
      <c r="D1832" s="84"/>
      <c r="E1832" s="84"/>
      <c r="F1832" s="84"/>
    </row>
    <row r="1833" spans="1:32" x14ac:dyDescent="0.25">
      <c r="A1833" s="84"/>
      <c r="B1833" s="84"/>
      <c r="C1833" s="84">
        <v>300</v>
      </c>
      <c r="D1833" s="84"/>
      <c r="E1833" s="84"/>
      <c r="F1833" s="84"/>
      <c r="G1833" s="1075">
        <v>733151</v>
      </c>
      <c r="H1833" s="1076">
        <f>SUM(H1834:H1864)</f>
        <v>-4.6566128730773926E-10</v>
      </c>
    </row>
    <row r="1834" spans="1:32" x14ac:dyDescent="0.25">
      <c r="C1834" s="810" t="s">
        <v>5489</v>
      </c>
      <c r="H1834" s="763">
        <v>-1771636</v>
      </c>
    </row>
    <row r="1835" spans="1:32" x14ac:dyDescent="0.25">
      <c r="A1835" s="84"/>
      <c r="B1835" s="84"/>
      <c r="C1835" s="84"/>
      <c r="D1835" s="84"/>
      <c r="E1835" s="84"/>
      <c r="F1835" s="84"/>
      <c r="H1835" s="763">
        <v>-144372</v>
      </c>
      <c r="L1835" s="765">
        <v>75690746</v>
      </c>
      <c r="P1835" s="765">
        <v>414025148</v>
      </c>
    </row>
    <row r="1836" spans="1:32" x14ac:dyDescent="0.25">
      <c r="A1836" s="84"/>
      <c r="B1836" s="84"/>
      <c r="C1836" s="84"/>
      <c r="D1836" s="84"/>
      <c r="E1836" s="84"/>
      <c r="F1836" s="84"/>
      <c r="H1836" s="1077">
        <v>425000</v>
      </c>
      <c r="L1836" s="1086">
        <f>L1812-L1835</f>
        <v>153727.3900000006</v>
      </c>
      <c r="P1836" s="1086">
        <f>H1806-P1835</f>
        <v>3834600.8100000024</v>
      </c>
    </row>
    <row r="1837" spans="1:32" x14ac:dyDescent="0.25">
      <c r="A1837" s="84"/>
      <c r="B1837" s="84"/>
      <c r="C1837" s="84"/>
      <c r="D1837" s="84"/>
      <c r="E1837" s="84"/>
      <c r="F1837" s="84"/>
      <c r="H1837" s="1078">
        <v>-400000</v>
      </c>
      <c r="AF1837" s="203"/>
    </row>
    <row r="1838" spans="1:32" x14ac:dyDescent="0.25">
      <c r="H1838" s="1079">
        <v>400000</v>
      </c>
    </row>
    <row r="1839" spans="1:32" x14ac:dyDescent="0.25">
      <c r="H1839" s="794">
        <v>-953693</v>
      </c>
    </row>
    <row r="1840" spans="1:32" x14ac:dyDescent="0.25">
      <c r="H1840" s="794">
        <v>-2108160</v>
      </c>
    </row>
    <row r="1841" spans="8:8" x14ac:dyDescent="0.25">
      <c r="H1841" s="794">
        <v>-2529792</v>
      </c>
    </row>
    <row r="1842" spans="8:8" x14ac:dyDescent="0.25">
      <c r="H1842" s="794">
        <v>735000</v>
      </c>
    </row>
    <row r="1843" spans="8:8" x14ac:dyDescent="0.25">
      <c r="H1843" s="794">
        <v>4179740</v>
      </c>
    </row>
    <row r="1844" spans="8:8" x14ac:dyDescent="0.25">
      <c r="H1844" s="763">
        <v>-237732</v>
      </c>
    </row>
    <row r="1845" spans="8:8" x14ac:dyDescent="0.25">
      <c r="H1845" s="763">
        <v>3690000</v>
      </c>
    </row>
    <row r="1846" spans="8:8" x14ac:dyDescent="0.25">
      <c r="H1846" s="763">
        <v>-150000</v>
      </c>
    </row>
    <row r="1847" spans="8:8" x14ac:dyDescent="0.25">
      <c r="H1847" s="763">
        <v>-926000</v>
      </c>
    </row>
    <row r="1848" spans="8:8" x14ac:dyDescent="0.25">
      <c r="H1848" s="763">
        <v>926000</v>
      </c>
    </row>
    <row r="1849" spans="8:8" x14ac:dyDescent="0.25">
      <c r="H1849" s="763">
        <v>400000</v>
      </c>
    </row>
    <row r="1850" spans="8:8" x14ac:dyDescent="0.25">
      <c r="H1850" s="763">
        <v>-34355</v>
      </c>
    </row>
    <row r="1851" spans="8:8" x14ac:dyDescent="0.25">
      <c r="H1851" s="763">
        <v>-1000000</v>
      </c>
    </row>
    <row r="1852" spans="8:8" x14ac:dyDescent="0.25">
      <c r="H1852" s="763">
        <v>-500000</v>
      </c>
    </row>
    <row r="1853" spans="8:8" x14ac:dyDescent="0.25">
      <c r="H1853" s="763">
        <v>263520</v>
      </c>
    </row>
    <row r="1854" spans="8:8" x14ac:dyDescent="0.25">
      <c r="H1854" s="763">
        <v>263520</v>
      </c>
    </row>
    <row r="1855" spans="8:8" x14ac:dyDescent="0.25">
      <c r="H1855" s="763">
        <v>316223.99999999953</v>
      </c>
    </row>
    <row r="1856" spans="8:8" x14ac:dyDescent="0.25">
      <c r="H1856" s="763">
        <v>-421632</v>
      </c>
    </row>
    <row r="1857" spans="1:27" x14ac:dyDescent="0.25">
      <c r="H1857" s="763">
        <v>-844640</v>
      </c>
    </row>
    <row r="1858" spans="1:27" x14ac:dyDescent="0.25">
      <c r="H1858" s="763">
        <v>-316224</v>
      </c>
    </row>
    <row r="1859" spans="1:27" x14ac:dyDescent="0.25">
      <c r="H1859" s="763">
        <v>739232</v>
      </c>
    </row>
    <row r="1860" spans="1:27" x14ac:dyDescent="0.25">
      <c r="H1860" s="1087">
        <v>400000</v>
      </c>
    </row>
    <row r="1861" spans="1:27" x14ac:dyDescent="0.25">
      <c r="H1861" s="1087">
        <v>559804</v>
      </c>
    </row>
    <row r="1862" spans="1:27" x14ac:dyDescent="0.25">
      <c r="H1862" s="1088">
        <v>-212176</v>
      </c>
    </row>
    <row r="1863" spans="1:27" x14ac:dyDescent="0.25">
      <c r="H1863" s="1089">
        <v>-506324</v>
      </c>
    </row>
    <row r="1864" spans="1:27" x14ac:dyDescent="0.25">
      <c r="H1864" s="1089">
        <v>-241304</v>
      </c>
    </row>
    <row r="1865" spans="1:27" x14ac:dyDescent="0.25">
      <c r="G1865" s="1075">
        <v>711111</v>
      </c>
      <c r="H1865" s="1076">
        <f>SUM(H1866:H1871)</f>
        <v>0</v>
      </c>
    </row>
    <row r="1866" spans="1:27" x14ac:dyDescent="0.25">
      <c r="A1866" s="84"/>
      <c r="B1866" s="84"/>
      <c r="C1866" s="84"/>
      <c r="D1866" s="84"/>
      <c r="E1866" s="84"/>
      <c r="F1866" s="84"/>
      <c r="G1866" s="948"/>
      <c r="H1866" s="763">
        <v>3500000</v>
      </c>
      <c r="I1866" s="84"/>
      <c r="J1866" s="84"/>
      <c r="K1866" s="84"/>
      <c r="L1866" s="84"/>
      <c r="M1866" s="84"/>
      <c r="N1866" s="84"/>
      <c r="O1866" s="84"/>
      <c r="P1866" s="84"/>
      <c r="Q1866" s="84"/>
      <c r="R1866" s="84"/>
      <c r="S1866" s="84"/>
      <c r="T1866" s="84"/>
      <c r="V1866" s="84"/>
      <c r="W1866" s="84"/>
      <c r="X1866" s="84"/>
      <c r="Y1866" s="84"/>
      <c r="Z1866" s="84"/>
      <c r="AA1866" s="84"/>
    </row>
    <row r="1867" spans="1:27" x14ac:dyDescent="0.25">
      <c r="G1867" s="1080"/>
      <c r="H1867" s="763">
        <v>-1893137</v>
      </c>
    </row>
    <row r="1868" spans="1:27" x14ac:dyDescent="0.25">
      <c r="G1868" s="1080"/>
      <c r="H1868" s="763">
        <v>-1606863</v>
      </c>
    </row>
    <row r="1869" spans="1:27" x14ac:dyDescent="0.25">
      <c r="G1869" s="1080"/>
      <c r="H1869" s="1087">
        <v>1050200</v>
      </c>
    </row>
    <row r="1870" spans="1:27" x14ac:dyDescent="0.25">
      <c r="G1870" s="1080"/>
      <c r="H1870" s="1088">
        <v>-928262</v>
      </c>
    </row>
    <row r="1871" spans="1:27" x14ac:dyDescent="0.25">
      <c r="G1871" s="1080"/>
      <c r="H1871" s="1088">
        <v>-121938</v>
      </c>
    </row>
    <row r="1872" spans="1:27" x14ac:dyDescent="0.25">
      <c r="G1872" s="1075">
        <v>713121</v>
      </c>
      <c r="H1872" s="1076">
        <f>SUM(H1873:H1876)</f>
        <v>0</v>
      </c>
    </row>
    <row r="1873" spans="1:27" x14ac:dyDescent="0.25">
      <c r="H1873" s="763">
        <v>600000</v>
      </c>
    </row>
    <row r="1874" spans="1:27" x14ac:dyDescent="0.25">
      <c r="H1874" s="763">
        <v>680000</v>
      </c>
    </row>
    <row r="1875" spans="1:27" x14ac:dyDescent="0.25">
      <c r="H1875" s="763">
        <v>-125533</v>
      </c>
    </row>
    <row r="1876" spans="1:27" x14ac:dyDescent="0.25">
      <c r="H1876" s="763">
        <v>-1154467</v>
      </c>
    </row>
    <row r="1877" spans="1:27" x14ac:dyDescent="0.25">
      <c r="G1877" s="752">
        <v>742351</v>
      </c>
      <c r="H1877" s="1076">
        <f>SUM(H1878:H1879)</f>
        <v>0</v>
      </c>
    </row>
    <row r="1878" spans="1:27" s="204" customFormat="1" x14ac:dyDescent="0.25">
      <c r="A1878" s="884"/>
      <c r="B1878" s="885"/>
      <c r="C1878" s="907"/>
      <c r="D1878" s="884"/>
      <c r="E1878" s="885"/>
      <c r="F1878" s="884"/>
      <c r="G1878" s="753"/>
      <c r="H1878" s="1081">
        <v>5263230</v>
      </c>
      <c r="I1878" s="934"/>
      <c r="J1878" s="935"/>
      <c r="K1878" s="934"/>
      <c r="L1878" s="889"/>
      <c r="M1878" s="889"/>
      <c r="N1878" s="890"/>
      <c r="O1878" s="889"/>
      <c r="P1878" s="889"/>
      <c r="Q1878" s="889"/>
      <c r="R1878" s="890"/>
      <c r="S1878" s="889"/>
      <c r="T1878" s="873"/>
      <c r="V1878" s="892"/>
      <c r="W1878" s="892"/>
      <c r="X1878" s="1082"/>
      <c r="Y1878" s="892"/>
      <c r="Z1878" s="1083"/>
      <c r="AA1878" s="1083"/>
    </row>
    <row r="1879" spans="1:27" x14ac:dyDescent="0.25">
      <c r="H1879" s="1084">
        <v>-5263230</v>
      </c>
    </row>
    <row r="1880" spans="1:27" x14ac:dyDescent="0.25">
      <c r="G1880" s="1075">
        <v>743324</v>
      </c>
      <c r="H1880" s="1076">
        <f>SUM(H1881:H1884)</f>
        <v>0</v>
      </c>
    </row>
    <row r="1881" spans="1:27" x14ac:dyDescent="0.25">
      <c r="H1881" s="1087">
        <v>1960000</v>
      </c>
    </row>
    <row r="1882" spans="1:27" x14ac:dyDescent="0.25">
      <c r="H1882" s="1088">
        <v>-872609</v>
      </c>
    </row>
    <row r="1883" spans="1:27" x14ac:dyDescent="0.25">
      <c r="H1883" s="1088">
        <v>-928262</v>
      </c>
    </row>
    <row r="1884" spans="1:27" x14ac:dyDescent="0.25">
      <c r="H1884" s="1088">
        <v>-159129</v>
      </c>
    </row>
  </sheetData>
  <mergeCells count="8">
    <mergeCell ref="P1826:Q1826"/>
    <mergeCell ref="H1826:I1826"/>
    <mergeCell ref="A1:P1"/>
    <mergeCell ref="A13:R13"/>
    <mergeCell ref="A3:P3"/>
    <mergeCell ref="A5:P5"/>
    <mergeCell ref="A12:R12"/>
    <mergeCell ref="A11:P11"/>
  </mergeCells>
  <printOptions horizontalCentered="1"/>
  <pageMargins left="0" right="0" top="0.196850393700787" bottom="0.196850393700787" header="0.31496062992126" footer="0.31496062992126"/>
  <pageSetup scale="77" orientation="portrait" r:id="rId1"/>
  <rowBreaks count="13" manualBreakCount="13">
    <brk id="277" max="18" man="1"/>
    <brk id="426" max="18" man="1"/>
    <brk id="508" max="18" man="1"/>
    <brk id="725" max="18" man="1"/>
    <brk id="825" max="18" man="1"/>
    <brk id="921" max="18" man="1"/>
    <brk id="982" max="18" man="1"/>
    <brk id="1039" max="18" man="1"/>
    <brk id="1102" max="18" man="1"/>
    <brk id="1173" max="18" man="1"/>
    <brk id="1233" max="18" man="1"/>
    <brk id="1332" max="18" man="1"/>
    <brk id="1583" max="18" man="1"/>
  </rowBreaks>
  <colBreaks count="1" manualBreakCount="1">
    <brk id="16" max="1824" man="1"/>
  </colBreaks>
  <cellWatches>
    <cellWatch r="H1823"/>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view="pageBreakPreview" zoomScale="60" workbookViewId="0">
      <selection activeCell="H106" sqref="H106"/>
    </sheetView>
  </sheetViews>
  <sheetFormatPr defaultRowHeight="15" x14ac:dyDescent="0.25"/>
  <cols>
    <col min="1" max="1" width="6.5703125" customWidth="1"/>
    <col min="3" max="3" width="16.28515625" customWidth="1"/>
    <col min="4" max="4" width="12.28515625" customWidth="1"/>
    <col min="5" max="5" width="11.7109375" customWidth="1"/>
    <col min="6" max="6" width="11" bestFit="1" customWidth="1"/>
    <col min="7" max="7" width="11.140625" customWidth="1"/>
    <col min="8" max="8" width="10.140625" customWidth="1"/>
    <col min="9" max="9" width="10.5703125" customWidth="1"/>
    <col min="10" max="10" width="11.7109375" customWidth="1"/>
    <col min="11" max="11" width="11.85546875" customWidth="1"/>
    <col min="12" max="12" width="4.85546875" customWidth="1"/>
    <col min="14" max="14" width="16.28515625" bestFit="1" customWidth="1"/>
    <col min="15" max="15" width="9.7109375" bestFit="1" customWidth="1"/>
  </cols>
  <sheetData>
    <row r="1" spans="1:11" x14ac:dyDescent="0.25">
      <c r="A1" s="1092" t="s">
        <v>4873</v>
      </c>
      <c r="B1" s="1092"/>
      <c r="C1" s="1092"/>
      <c r="D1" s="1092"/>
      <c r="E1" s="1092"/>
      <c r="F1" s="1092"/>
      <c r="G1" s="1092"/>
      <c r="H1" s="1092"/>
      <c r="I1" s="1092"/>
      <c r="J1" s="1092"/>
      <c r="K1" s="1092"/>
    </row>
    <row r="2" spans="1:11" ht="10.5" customHeight="1" x14ac:dyDescent="0.25">
      <c r="A2" s="586"/>
      <c r="B2" s="586"/>
      <c r="C2" s="586"/>
      <c r="D2" s="586"/>
      <c r="E2" s="586"/>
      <c r="F2" s="586"/>
      <c r="G2" s="586"/>
      <c r="H2" s="586"/>
      <c r="I2" s="586"/>
      <c r="J2" s="586"/>
      <c r="K2" s="586"/>
    </row>
    <row r="3" spans="1:11" x14ac:dyDescent="0.25">
      <c r="A3" s="205" t="s">
        <v>5504</v>
      </c>
      <c r="B3" s="205"/>
      <c r="C3" s="205"/>
      <c r="D3" s="205"/>
      <c r="E3" s="205"/>
      <c r="F3" s="205"/>
      <c r="G3" s="205"/>
      <c r="H3" s="205"/>
      <c r="I3" s="205"/>
      <c r="J3" s="205"/>
      <c r="K3" s="205"/>
    </row>
    <row r="4" spans="1:11" x14ac:dyDescent="0.25">
      <c r="A4" s="205"/>
      <c r="B4" s="205"/>
      <c r="C4" s="205"/>
      <c r="D4" s="205"/>
      <c r="E4" s="205"/>
      <c r="F4" s="205"/>
      <c r="G4" s="205"/>
      <c r="H4" s="205"/>
      <c r="I4" s="205"/>
      <c r="J4" s="205"/>
      <c r="K4" s="205"/>
    </row>
    <row r="5" spans="1:11" x14ac:dyDescent="0.25">
      <c r="A5" s="1091" t="s">
        <v>5440</v>
      </c>
      <c r="B5" s="1091"/>
      <c r="C5" s="1091"/>
      <c r="D5" s="1091"/>
      <c r="E5" s="1091"/>
      <c r="F5" s="1091"/>
      <c r="G5" s="1091"/>
      <c r="H5" s="1091"/>
      <c r="I5" s="1091"/>
      <c r="J5" s="1091"/>
      <c r="K5" s="1091"/>
    </row>
    <row r="6" spans="1:11" x14ac:dyDescent="0.25">
      <c r="A6" s="1091" t="s">
        <v>5530</v>
      </c>
      <c r="B6" s="1091"/>
      <c r="C6" s="1091"/>
      <c r="D6" s="1091"/>
      <c r="E6" s="1091"/>
      <c r="F6" s="1091"/>
      <c r="G6" s="1091"/>
      <c r="H6" s="1091"/>
      <c r="I6" s="1091"/>
      <c r="J6" s="1091"/>
      <c r="K6" s="1091"/>
    </row>
    <row r="7" spans="1:11" x14ac:dyDescent="0.25">
      <c r="A7" s="1091" t="s">
        <v>5531</v>
      </c>
      <c r="B7" s="1091"/>
      <c r="C7" s="1091"/>
      <c r="D7" s="1091"/>
      <c r="E7" s="1091"/>
      <c r="F7" s="1091"/>
      <c r="G7" s="1091"/>
      <c r="H7" s="1091"/>
      <c r="I7" s="1091"/>
      <c r="J7" s="1091"/>
      <c r="K7" s="1091"/>
    </row>
    <row r="8" spans="1:11" hidden="1" x14ac:dyDescent="0.25">
      <c r="A8" s="205" t="s">
        <v>4874</v>
      </c>
      <c r="B8" s="205"/>
      <c r="C8" s="205"/>
      <c r="D8" s="205"/>
      <c r="E8" s="205"/>
      <c r="F8" s="205"/>
      <c r="G8" s="205"/>
      <c r="H8" s="205"/>
      <c r="I8" s="205"/>
      <c r="J8" s="205"/>
      <c r="K8" s="205"/>
    </row>
    <row r="9" spans="1:11" x14ac:dyDescent="0.25">
      <c r="A9" s="1091" t="s">
        <v>5526</v>
      </c>
      <c r="B9" s="1091"/>
      <c r="C9" s="1091"/>
      <c r="D9" s="1091"/>
      <c r="E9" s="1091"/>
      <c r="F9" s="1091"/>
      <c r="G9" s="1091"/>
      <c r="H9" s="1091"/>
      <c r="I9" s="1091"/>
      <c r="J9" s="1091"/>
      <c r="K9" s="1091"/>
    </row>
    <row r="10" spans="1:11" ht="15" hidden="1" customHeight="1" x14ac:dyDescent="0.25">
      <c r="A10" s="205"/>
      <c r="B10" s="205"/>
      <c r="C10" s="205"/>
      <c r="D10" s="205"/>
      <c r="E10" s="205"/>
      <c r="F10" s="205"/>
      <c r="G10" s="205"/>
      <c r="H10" s="205"/>
      <c r="I10" s="205"/>
      <c r="J10" s="205"/>
      <c r="K10" s="205"/>
    </row>
    <row r="11" spans="1:11" x14ac:dyDescent="0.25">
      <c r="A11" s="205" t="s">
        <v>5527</v>
      </c>
      <c r="B11" s="205"/>
      <c r="C11" s="205"/>
      <c r="D11" s="205"/>
      <c r="E11" s="205"/>
      <c r="F11" s="205"/>
      <c r="G11" s="205"/>
      <c r="H11" s="205"/>
      <c r="I11" s="205"/>
      <c r="J11" s="205"/>
      <c r="K11" s="205"/>
    </row>
    <row r="12" spans="1:11" x14ac:dyDescent="0.25">
      <c r="A12" s="205" t="s">
        <v>5528</v>
      </c>
      <c r="B12" s="205"/>
      <c r="C12" s="205"/>
      <c r="D12" s="205"/>
      <c r="E12" s="205"/>
      <c r="F12" s="205"/>
      <c r="G12" s="205"/>
      <c r="H12" s="205"/>
      <c r="I12" s="205"/>
      <c r="J12" s="205"/>
      <c r="K12" s="205"/>
    </row>
    <row r="13" spans="1:11" x14ac:dyDescent="0.25">
      <c r="A13" s="205" t="s">
        <v>5470</v>
      </c>
      <c r="B13" s="205"/>
      <c r="C13" s="205"/>
      <c r="D13" s="205"/>
      <c r="E13" s="205"/>
      <c r="F13" s="205"/>
      <c r="G13" s="205"/>
      <c r="H13" s="205"/>
      <c r="I13" s="205"/>
      <c r="J13" s="205"/>
      <c r="K13" s="205"/>
    </row>
    <row r="14" spans="1:11" ht="9.75" customHeight="1" x14ac:dyDescent="0.25">
      <c r="A14" s="205"/>
      <c r="B14" s="205"/>
      <c r="C14" s="205"/>
      <c r="D14" s="205"/>
      <c r="E14" s="205"/>
      <c r="F14" s="205"/>
      <c r="G14" s="205"/>
      <c r="H14" s="205"/>
      <c r="I14" s="205"/>
      <c r="J14" s="205"/>
      <c r="K14" s="205"/>
    </row>
    <row r="15" spans="1:11" x14ac:dyDescent="0.25">
      <c r="A15" s="1092" t="s">
        <v>4875</v>
      </c>
      <c r="B15" s="1092"/>
      <c r="C15" s="1092"/>
      <c r="D15" s="1092"/>
      <c r="E15" s="1092"/>
      <c r="F15" s="1092"/>
      <c r="G15" s="1092"/>
      <c r="H15" s="1092"/>
      <c r="I15" s="1092"/>
      <c r="J15" s="1092"/>
      <c r="K15" s="1092"/>
    </row>
    <row r="16" spans="1:11" ht="11.25" customHeight="1" x14ac:dyDescent="0.25">
      <c r="A16" s="205"/>
      <c r="B16" s="205"/>
      <c r="C16" s="205"/>
      <c r="D16" s="205"/>
      <c r="E16" s="205"/>
      <c r="F16" s="205"/>
      <c r="G16" s="205"/>
      <c r="H16" s="205"/>
      <c r="I16" s="205"/>
      <c r="J16" s="205"/>
      <c r="K16" s="205"/>
    </row>
    <row r="17" spans="1:11" x14ac:dyDescent="0.25">
      <c r="A17" s="205" t="s">
        <v>5507</v>
      </c>
      <c r="B17" s="205"/>
      <c r="C17" s="205"/>
      <c r="D17" s="205"/>
      <c r="E17" s="205"/>
      <c r="F17" s="205"/>
      <c r="G17" s="205"/>
      <c r="H17" s="205"/>
      <c r="I17" s="205"/>
      <c r="J17" s="205"/>
      <c r="K17" s="205"/>
    </row>
    <row r="18" spans="1:11" x14ac:dyDescent="0.25">
      <c r="A18" s="205"/>
      <c r="B18" s="205"/>
      <c r="C18" s="205"/>
      <c r="D18" s="205"/>
      <c r="E18" s="205"/>
      <c r="F18" s="205"/>
      <c r="G18" s="205"/>
      <c r="H18" s="205"/>
      <c r="I18" s="205"/>
      <c r="J18" s="205"/>
      <c r="K18" s="205"/>
    </row>
    <row r="19" spans="1:11" x14ac:dyDescent="0.25">
      <c r="A19" s="1091" t="s">
        <v>5505</v>
      </c>
      <c r="B19" s="1091"/>
      <c r="C19" s="1091"/>
      <c r="D19" s="1091"/>
      <c r="E19" s="1091"/>
      <c r="F19" s="1091"/>
      <c r="G19" s="1091"/>
      <c r="H19" s="1091"/>
      <c r="I19" s="1091"/>
      <c r="J19" s="1091"/>
      <c r="K19" s="1091"/>
    </row>
    <row r="20" spans="1:11" x14ac:dyDescent="0.25">
      <c r="A20" s="742" t="s">
        <v>5443</v>
      </c>
      <c r="B20" s="742"/>
      <c r="C20" s="742"/>
      <c r="D20" s="742"/>
      <c r="E20" s="742"/>
      <c r="F20" s="742"/>
      <c r="G20" s="742"/>
      <c r="H20" s="742"/>
      <c r="I20" s="742"/>
      <c r="J20" s="742"/>
      <c r="K20" s="742"/>
    </row>
    <row r="21" spans="1:11" x14ac:dyDescent="0.25">
      <c r="A21" s="1091" t="s">
        <v>5034</v>
      </c>
      <c r="B21" s="1091"/>
      <c r="C21" s="1091"/>
      <c r="D21" s="1091"/>
      <c r="E21" s="1091"/>
      <c r="F21" s="1091"/>
      <c r="G21" s="1091"/>
      <c r="H21" s="1091"/>
      <c r="I21" s="1091"/>
      <c r="J21" s="1091"/>
      <c r="K21" s="1091"/>
    </row>
    <row r="22" spans="1:11" x14ac:dyDescent="0.25">
      <c r="A22" s="1091" t="s">
        <v>5035</v>
      </c>
      <c r="B22" s="1091"/>
      <c r="C22" s="1091"/>
      <c r="D22" s="1091"/>
      <c r="E22" s="1091"/>
      <c r="F22" s="1091"/>
      <c r="G22" s="1091"/>
      <c r="H22" s="1091"/>
      <c r="I22" s="1091"/>
      <c r="J22" s="1091"/>
      <c r="K22" s="1091"/>
    </row>
    <row r="23" spans="1:11" x14ac:dyDescent="0.25">
      <c r="A23" s="1091" t="s">
        <v>5036</v>
      </c>
      <c r="B23" s="1091"/>
      <c r="C23" s="1091"/>
      <c r="D23" s="1091"/>
      <c r="E23" s="1091"/>
      <c r="F23" s="1091"/>
      <c r="G23" s="1091"/>
      <c r="H23" s="1091"/>
      <c r="I23" s="1091"/>
      <c r="J23" s="1091"/>
      <c r="K23" s="1091"/>
    </row>
    <row r="24" spans="1:11" x14ac:dyDescent="0.25">
      <c r="A24" s="585"/>
      <c r="B24" s="585"/>
      <c r="C24" s="585"/>
      <c r="D24" s="585"/>
      <c r="E24" s="585"/>
      <c r="F24" s="585"/>
      <c r="G24" s="585"/>
      <c r="H24" s="585"/>
      <c r="I24" s="585"/>
      <c r="J24" s="585"/>
      <c r="K24" s="585"/>
    </row>
    <row r="25" spans="1:11" x14ac:dyDescent="0.25">
      <c r="A25" s="1092" t="s">
        <v>4883</v>
      </c>
      <c r="B25" s="1092"/>
      <c r="C25" s="1092"/>
      <c r="D25" s="1092"/>
      <c r="E25" s="1092"/>
      <c r="F25" s="1092"/>
      <c r="G25" s="1092"/>
      <c r="H25" s="1092"/>
      <c r="I25" s="1092"/>
      <c r="J25" s="1092"/>
      <c r="K25" s="1092"/>
    </row>
    <row r="26" spans="1:11" x14ac:dyDescent="0.25">
      <c r="A26" s="1092"/>
      <c r="B26" s="1092"/>
      <c r="C26" s="1092"/>
      <c r="D26" s="1092"/>
      <c r="E26" s="1092"/>
      <c r="F26" s="1092"/>
      <c r="G26" s="1092"/>
      <c r="H26" s="1092"/>
      <c r="I26" s="1092"/>
      <c r="J26" s="1092"/>
      <c r="K26" s="1092"/>
    </row>
    <row r="27" spans="1:11" x14ac:dyDescent="0.25">
      <c r="A27" s="205" t="s">
        <v>5508</v>
      </c>
      <c r="B27" s="754"/>
      <c r="C27" s="754"/>
      <c r="D27" s="754"/>
      <c r="E27" s="754"/>
      <c r="F27" s="754"/>
      <c r="G27" s="754"/>
      <c r="H27" s="754"/>
      <c r="I27" s="754"/>
      <c r="J27" s="754"/>
      <c r="K27" s="754"/>
    </row>
    <row r="28" spans="1:11" x14ac:dyDescent="0.25">
      <c r="A28" s="754"/>
      <c r="B28" s="754"/>
      <c r="C28" s="754"/>
      <c r="D28" s="754"/>
      <c r="E28" s="754"/>
      <c r="F28" s="754"/>
      <c r="G28" s="754"/>
      <c r="H28" s="754"/>
      <c r="I28" s="754"/>
      <c r="J28" s="754"/>
      <c r="K28" s="754"/>
    </row>
    <row r="29" spans="1:11" x14ac:dyDescent="0.25">
      <c r="A29" s="1091" t="s">
        <v>5506</v>
      </c>
      <c r="B29" s="1091"/>
      <c r="C29" s="1091"/>
      <c r="D29" s="1091"/>
      <c r="E29" s="1091"/>
      <c r="F29" s="1091"/>
      <c r="G29" s="1091"/>
      <c r="H29" s="1091"/>
      <c r="I29" s="1091"/>
      <c r="J29" s="1091"/>
      <c r="K29" s="1091"/>
    </row>
    <row r="30" spans="1:11" x14ac:dyDescent="0.25">
      <c r="A30" s="1091" t="s">
        <v>5037</v>
      </c>
      <c r="B30" s="1091"/>
      <c r="C30" s="1091"/>
      <c r="D30" s="1091"/>
      <c r="E30" s="1091"/>
      <c r="F30" s="1091"/>
      <c r="G30" s="1091"/>
      <c r="H30" s="1091"/>
      <c r="I30" s="1091"/>
      <c r="J30" s="1091"/>
      <c r="K30" s="1091"/>
    </row>
    <row r="31" spans="1:11" x14ac:dyDescent="0.25">
      <c r="A31" s="1091" t="s">
        <v>5035</v>
      </c>
      <c r="B31" s="1091"/>
      <c r="C31" s="1091"/>
      <c r="D31" s="1091"/>
      <c r="E31" s="1091"/>
      <c r="F31" s="1091"/>
      <c r="G31" s="1091"/>
      <c r="H31" s="1091"/>
      <c r="I31" s="1091"/>
      <c r="J31" s="1091"/>
      <c r="K31" s="1091"/>
    </row>
    <row r="32" spans="1:11" x14ac:dyDescent="0.25">
      <c r="A32" s="1091" t="s">
        <v>5038</v>
      </c>
      <c r="B32" s="1091"/>
      <c r="C32" s="1091"/>
      <c r="D32" s="1091"/>
      <c r="E32" s="1091"/>
      <c r="F32" s="1091"/>
      <c r="G32" s="1091"/>
      <c r="H32" s="1091"/>
      <c r="I32" s="1091"/>
      <c r="J32" s="1091"/>
      <c r="K32" s="1091"/>
    </row>
    <row r="33" spans="1:11" x14ac:dyDescent="0.25">
      <c r="A33" s="755"/>
      <c r="B33" s="755"/>
      <c r="C33" s="755"/>
      <c r="D33" s="755"/>
      <c r="E33" s="755"/>
      <c r="F33" s="755"/>
      <c r="G33" s="755"/>
      <c r="H33" s="755"/>
      <c r="I33" s="755"/>
      <c r="J33" s="755"/>
      <c r="K33" s="755"/>
    </row>
    <row r="34" spans="1:11" x14ac:dyDescent="0.25">
      <c r="A34" s="1092" t="s">
        <v>4884</v>
      </c>
      <c r="B34" s="1092"/>
      <c r="C34" s="1092"/>
      <c r="D34" s="1092"/>
      <c r="E34" s="1092"/>
      <c r="F34" s="1092"/>
      <c r="G34" s="1092"/>
      <c r="H34" s="1092"/>
      <c r="I34" s="1092"/>
      <c r="J34" s="1092"/>
      <c r="K34" s="1092"/>
    </row>
    <row r="35" spans="1:11" ht="10.5" customHeight="1" x14ac:dyDescent="0.25">
      <c r="A35" s="754"/>
      <c r="B35" s="754"/>
      <c r="C35" s="754"/>
      <c r="D35" s="754"/>
      <c r="E35" s="754"/>
      <c r="F35" s="754"/>
      <c r="G35" s="754"/>
      <c r="H35" s="754"/>
      <c r="I35" s="754"/>
      <c r="J35" s="754"/>
      <c r="K35" s="754"/>
    </row>
    <row r="36" spans="1:11" x14ac:dyDescent="0.25">
      <c r="A36" s="1091" t="s">
        <v>5509</v>
      </c>
      <c r="B36" s="1091"/>
      <c r="C36" s="1091"/>
      <c r="D36" s="1091"/>
      <c r="E36" s="1091"/>
      <c r="F36" s="1091"/>
      <c r="G36" s="1091"/>
      <c r="H36" s="1091"/>
      <c r="I36" s="1091"/>
      <c r="J36" s="1091"/>
      <c r="K36" s="1091"/>
    </row>
    <row r="37" spans="1:11" x14ac:dyDescent="0.25">
      <c r="A37" s="754"/>
      <c r="B37" s="754"/>
      <c r="C37" s="754"/>
      <c r="D37" s="754"/>
      <c r="E37" s="754"/>
      <c r="F37" s="754"/>
      <c r="G37" s="754"/>
      <c r="H37" s="754"/>
      <c r="I37" s="754"/>
      <c r="J37" s="754"/>
      <c r="K37" s="754"/>
    </row>
    <row r="38" spans="1:11" x14ac:dyDescent="0.25">
      <c r="A38" s="1091" t="s">
        <v>5441</v>
      </c>
      <c r="B38" s="1091"/>
      <c r="C38" s="1091"/>
      <c r="D38" s="1091"/>
      <c r="E38" s="1091"/>
      <c r="F38" s="1091"/>
      <c r="G38" s="1091"/>
      <c r="H38" s="1091"/>
      <c r="I38" s="1091"/>
      <c r="J38" s="1091"/>
      <c r="K38" s="1091"/>
    </row>
    <row r="39" spans="1:11" x14ac:dyDescent="0.25">
      <c r="A39" s="755"/>
      <c r="B39" s="755"/>
      <c r="C39" s="755"/>
      <c r="D39" s="755"/>
      <c r="E39" s="755"/>
      <c r="F39" s="755"/>
      <c r="G39" s="755"/>
      <c r="H39" s="755"/>
      <c r="I39" s="755"/>
      <c r="J39" s="755"/>
      <c r="K39" s="755"/>
    </row>
    <row r="40" spans="1:11" x14ac:dyDescent="0.25">
      <c r="A40" s="1093" t="s">
        <v>5446</v>
      </c>
      <c r="B40" s="1093"/>
      <c r="C40" s="1093"/>
      <c r="D40" s="1093"/>
      <c r="E40" s="1093"/>
      <c r="F40" s="1093"/>
      <c r="G40" s="1093"/>
      <c r="H40" s="1093"/>
      <c r="I40" s="1093"/>
      <c r="J40" s="1093"/>
      <c r="K40" s="1093"/>
    </row>
    <row r="41" spans="1:11" x14ac:dyDescent="0.25">
      <c r="A41" s="205"/>
      <c r="B41" s="205"/>
      <c r="C41" s="205"/>
      <c r="D41" s="205"/>
      <c r="E41" s="205"/>
      <c r="F41" s="205"/>
      <c r="G41" s="205"/>
      <c r="H41" s="205"/>
      <c r="I41" s="205"/>
      <c r="J41" s="205"/>
      <c r="K41" s="205"/>
    </row>
    <row r="42" spans="1:11" hidden="1" x14ac:dyDescent="0.25">
      <c r="A42" s="1092"/>
      <c r="B42" s="1092"/>
      <c r="C42" s="1092"/>
      <c r="D42" s="1092"/>
      <c r="E42" s="1092"/>
      <c r="F42" s="1092"/>
      <c r="G42" s="1092"/>
      <c r="H42" s="1092"/>
      <c r="I42" s="1092"/>
      <c r="J42" s="1092"/>
      <c r="K42" s="1092"/>
    </row>
    <row r="43" spans="1:11" ht="80.25" customHeight="1" x14ac:dyDescent="0.25">
      <c r="A43" s="587" t="s">
        <v>3860</v>
      </c>
      <c r="B43" s="1193" t="s">
        <v>4877</v>
      </c>
      <c r="C43" s="1193"/>
      <c r="D43" s="1193"/>
      <c r="E43" s="587" t="s">
        <v>4878</v>
      </c>
      <c r="F43" s="587" t="s">
        <v>4879</v>
      </c>
      <c r="G43" s="587" t="s">
        <v>4880</v>
      </c>
      <c r="H43" s="587">
        <v>2019</v>
      </c>
      <c r="I43" s="587">
        <v>2020</v>
      </c>
      <c r="J43" s="587">
        <v>2021</v>
      </c>
      <c r="K43" s="587">
        <v>2022</v>
      </c>
    </row>
    <row r="44" spans="1:11" x14ac:dyDescent="0.25">
      <c r="A44" s="619">
        <v>1</v>
      </c>
      <c r="B44" s="1187" t="s">
        <v>5147</v>
      </c>
      <c r="C44" s="1188"/>
      <c r="D44" s="1189"/>
      <c r="E44" s="619">
        <v>2019</v>
      </c>
      <c r="F44" s="619">
        <v>2019</v>
      </c>
      <c r="G44" s="620">
        <f>SUM(H44:K44)</f>
        <v>23652</v>
      </c>
      <c r="H44" s="624">
        <v>23652</v>
      </c>
      <c r="I44" s="621"/>
      <c r="J44" s="621"/>
      <c r="K44" s="625"/>
    </row>
    <row r="45" spans="1:11" x14ac:dyDescent="0.25">
      <c r="A45" s="619">
        <v>2</v>
      </c>
      <c r="B45" s="1187" t="s">
        <v>5188</v>
      </c>
      <c r="C45" s="1188"/>
      <c r="D45" s="1189"/>
      <c r="E45" s="619">
        <v>2019</v>
      </c>
      <c r="F45" s="619">
        <v>2019</v>
      </c>
      <c r="G45" s="620">
        <f t="shared" ref="G45:G69" si="0">SUM(H45:K45)</f>
        <v>155000</v>
      </c>
      <c r="H45" s="624">
        <v>25000</v>
      </c>
      <c r="I45" s="621">
        <v>100000</v>
      </c>
      <c r="J45" s="621">
        <v>30000</v>
      </c>
      <c r="K45" s="625"/>
    </row>
    <row r="46" spans="1:11" x14ac:dyDescent="0.25">
      <c r="A46" s="619">
        <v>3</v>
      </c>
      <c r="B46" s="1187" t="s">
        <v>5290</v>
      </c>
      <c r="C46" s="1188"/>
      <c r="D46" s="1189"/>
      <c r="E46" s="619">
        <v>2019</v>
      </c>
      <c r="F46" s="619">
        <v>2019</v>
      </c>
      <c r="G46" s="620">
        <f t="shared" si="0"/>
        <v>300</v>
      </c>
      <c r="H46" s="624">
        <v>300</v>
      </c>
      <c r="I46" s="621"/>
      <c r="J46" s="621"/>
      <c r="K46" s="625"/>
    </row>
    <row r="47" spans="1:11" x14ac:dyDescent="0.25">
      <c r="A47" s="619">
        <v>4</v>
      </c>
      <c r="B47" s="1187" t="s">
        <v>5291</v>
      </c>
      <c r="C47" s="1188"/>
      <c r="D47" s="1189"/>
      <c r="E47" s="619">
        <v>2019</v>
      </c>
      <c r="F47" s="619">
        <v>2019</v>
      </c>
      <c r="G47" s="620">
        <f t="shared" si="0"/>
        <v>12620</v>
      </c>
      <c r="H47" s="624">
        <v>12620</v>
      </c>
      <c r="I47" s="621"/>
      <c r="J47" s="621"/>
      <c r="K47" s="625"/>
    </row>
    <row r="48" spans="1:11" x14ac:dyDescent="0.25">
      <c r="A48" s="619">
        <v>5</v>
      </c>
      <c r="B48" s="1187" t="s">
        <v>5417</v>
      </c>
      <c r="C48" s="1188"/>
      <c r="D48" s="1189"/>
      <c r="E48" s="619">
        <v>2019</v>
      </c>
      <c r="F48" s="619">
        <v>2019</v>
      </c>
      <c r="G48" s="620">
        <f t="shared" si="0"/>
        <v>634</v>
      </c>
      <c r="H48" s="624">
        <v>634</v>
      </c>
      <c r="I48" s="621"/>
      <c r="J48" s="621"/>
      <c r="K48" s="625"/>
    </row>
    <row r="49" spans="1:11" ht="24.75" customHeight="1" x14ac:dyDescent="0.25">
      <c r="A49" s="619">
        <v>6</v>
      </c>
      <c r="B49" s="1190" t="s">
        <v>5420</v>
      </c>
      <c r="C49" s="1191"/>
      <c r="D49" s="1192"/>
      <c r="E49" s="619">
        <v>2019</v>
      </c>
      <c r="F49" s="619">
        <v>2019</v>
      </c>
      <c r="G49" s="626">
        <f t="shared" si="0"/>
        <v>2773</v>
      </c>
      <c r="H49" s="624">
        <v>2773</v>
      </c>
      <c r="I49" s="621"/>
      <c r="J49" s="621"/>
      <c r="K49" s="625"/>
    </row>
    <row r="50" spans="1:11" ht="27.75" customHeight="1" x14ac:dyDescent="0.25">
      <c r="A50" s="619">
        <v>7</v>
      </c>
      <c r="B50" s="1190" t="s">
        <v>5421</v>
      </c>
      <c r="C50" s="1191"/>
      <c r="D50" s="1192"/>
      <c r="E50" s="619">
        <v>2019</v>
      </c>
      <c r="F50" s="619">
        <v>2019</v>
      </c>
      <c r="G50" s="626">
        <f t="shared" si="0"/>
        <v>2773</v>
      </c>
      <c r="H50" s="624">
        <v>2773</v>
      </c>
      <c r="I50" s="621"/>
      <c r="J50" s="621"/>
      <c r="K50" s="625"/>
    </row>
    <row r="51" spans="1:11" ht="26.25" customHeight="1" x14ac:dyDescent="0.25">
      <c r="A51" s="619">
        <v>8</v>
      </c>
      <c r="B51" s="1176" t="s">
        <v>5424</v>
      </c>
      <c r="C51" s="1177"/>
      <c r="D51" s="1178"/>
      <c r="E51" s="619">
        <v>2019</v>
      </c>
      <c r="F51" s="619">
        <v>2019</v>
      </c>
      <c r="G51" s="626">
        <f t="shared" si="0"/>
        <v>2530</v>
      </c>
      <c r="H51" s="624">
        <v>2530</v>
      </c>
      <c r="I51" s="621"/>
      <c r="J51" s="621"/>
      <c r="K51" s="625"/>
    </row>
    <row r="52" spans="1:11" ht="26.25" customHeight="1" x14ac:dyDescent="0.25">
      <c r="A52" s="619">
        <v>9</v>
      </c>
      <c r="B52" s="1176" t="s">
        <v>5425</v>
      </c>
      <c r="C52" s="1177"/>
      <c r="D52" s="1178"/>
      <c r="E52" s="619">
        <v>2019</v>
      </c>
      <c r="F52" s="619">
        <v>2019</v>
      </c>
      <c r="G52" s="626">
        <f t="shared" si="0"/>
        <v>3327</v>
      </c>
      <c r="H52" s="624">
        <v>3327</v>
      </c>
      <c r="I52" s="621"/>
      <c r="J52" s="621"/>
      <c r="K52" s="625"/>
    </row>
    <row r="53" spans="1:11" ht="26.25" customHeight="1" x14ac:dyDescent="0.25">
      <c r="A53" s="619">
        <v>10</v>
      </c>
      <c r="B53" s="1176" t="s">
        <v>5433</v>
      </c>
      <c r="C53" s="1177"/>
      <c r="D53" s="1178"/>
      <c r="E53" s="619">
        <v>2019</v>
      </c>
      <c r="F53" s="619">
        <v>2019</v>
      </c>
      <c r="G53" s="626">
        <f t="shared" si="0"/>
        <v>5000</v>
      </c>
      <c r="H53" s="624">
        <v>5000</v>
      </c>
      <c r="I53" s="621"/>
      <c r="J53" s="621"/>
      <c r="K53" s="625"/>
    </row>
    <row r="54" spans="1:11" ht="26.25" customHeight="1" x14ac:dyDescent="0.25">
      <c r="A54" s="619">
        <v>11</v>
      </c>
      <c r="B54" s="1176" t="s">
        <v>5434</v>
      </c>
      <c r="C54" s="1177"/>
      <c r="D54" s="1178"/>
      <c r="E54" s="619">
        <v>2019</v>
      </c>
      <c r="F54" s="619">
        <v>2019</v>
      </c>
      <c r="G54" s="626">
        <f t="shared" si="0"/>
        <v>5000</v>
      </c>
      <c r="H54" s="624">
        <v>5000</v>
      </c>
      <c r="I54" s="621"/>
      <c r="J54" s="621"/>
      <c r="K54" s="625"/>
    </row>
    <row r="55" spans="1:11" ht="12.75" customHeight="1" x14ac:dyDescent="0.25">
      <c r="A55" s="619">
        <v>12</v>
      </c>
      <c r="B55" s="1190" t="s">
        <v>5537</v>
      </c>
      <c r="C55" s="1191"/>
      <c r="D55" s="1192"/>
      <c r="E55" s="619">
        <v>2019</v>
      </c>
      <c r="F55" s="619">
        <v>2019</v>
      </c>
      <c r="G55" s="626">
        <f t="shared" si="0"/>
        <v>180</v>
      </c>
      <c r="H55" s="624">
        <v>180</v>
      </c>
      <c r="I55" s="621"/>
      <c r="J55" s="621"/>
      <c r="K55" s="625"/>
    </row>
    <row r="56" spans="1:11" ht="24.75" customHeight="1" x14ac:dyDescent="0.25">
      <c r="A56" s="619">
        <v>13</v>
      </c>
      <c r="B56" s="1190" t="s">
        <v>5494</v>
      </c>
      <c r="C56" s="1191"/>
      <c r="D56" s="1192"/>
      <c r="E56" s="619">
        <v>2019</v>
      </c>
      <c r="F56" s="619">
        <v>2019</v>
      </c>
      <c r="G56" s="626">
        <f t="shared" si="0"/>
        <v>2773</v>
      </c>
      <c r="H56" s="624">
        <v>2773</v>
      </c>
      <c r="I56" s="621"/>
      <c r="J56" s="621"/>
      <c r="K56" s="625"/>
    </row>
    <row r="57" spans="1:11" ht="24.75" customHeight="1" x14ac:dyDescent="0.25">
      <c r="A57" s="619">
        <v>14</v>
      </c>
      <c r="B57" s="1190" t="s">
        <v>5499</v>
      </c>
      <c r="C57" s="1191"/>
      <c r="D57" s="1192"/>
      <c r="E57" s="619">
        <v>2019</v>
      </c>
      <c r="F57" s="619">
        <v>2019</v>
      </c>
      <c r="G57" s="626">
        <f t="shared" si="0"/>
        <v>475</v>
      </c>
      <c r="H57" s="624">
        <v>475</v>
      </c>
      <c r="I57" s="621"/>
      <c r="J57" s="621"/>
      <c r="K57" s="625"/>
    </row>
    <row r="58" spans="1:11" ht="25.5" customHeight="1" x14ac:dyDescent="0.25">
      <c r="A58" s="619">
        <v>15</v>
      </c>
      <c r="B58" s="1190" t="s">
        <v>5442</v>
      </c>
      <c r="C58" s="1191"/>
      <c r="D58" s="1192"/>
      <c r="E58" s="619">
        <v>2019</v>
      </c>
      <c r="F58" s="619">
        <v>2019</v>
      </c>
      <c r="G58" s="626">
        <f t="shared" si="0"/>
        <v>220</v>
      </c>
      <c r="H58" s="624">
        <v>220</v>
      </c>
      <c r="I58" s="621"/>
      <c r="J58" s="621"/>
      <c r="K58" s="625"/>
    </row>
    <row r="59" spans="1:11" ht="27" customHeight="1" x14ac:dyDescent="0.25">
      <c r="A59" s="619">
        <v>16</v>
      </c>
      <c r="B59" s="1190" t="s">
        <v>5300</v>
      </c>
      <c r="C59" s="1191"/>
      <c r="D59" s="1192"/>
      <c r="E59" s="619">
        <v>2019</v>
      </c>
      <c r="F59" s="619">
        <v>2019</v>
      </c>
      <c r="G59" s="626">
        <f t="shared" si="0"/>
        <v>550</v>
      </c>
      <c r="H59" s="624">
        <v>550</v>
      </c>
      <c r="I59" s="621"/>
      <c r="J59" s="621"/>
      <c r="K59" s="625"/>
    </row>
    <row r="60" spans="1:11" ht="12.75" customHeight="1" x14ac:dyDescent="0.25">
      <c r="A60" s="619">
        <v>17</v>
      </c>
      <c r="B60" s="1190" t="s">
        <v>5302</v>
      </c>
      <c r="C60" s="1191"/>
      <c r="D60" s="1192"/>
      <c r="E60" s="619">
        <v>2019</v>
      </c>
      <c r="F60" s="619">
        <v>2019</v>
      </c>
      <c r="G60" s="626">
        <f t="shared" si="0"/>
        <v>190</v>
      </c>
      <c r="H60" s="624">
        <v>190</v>
      </c>
      <c r="I60" s="621"/>
      <c r="J60" s="621"/>
      <c r="K60" s="625"/>
    </row>
    <row r="61" spans="1:11" ht="24" customHeight="1" x14ac:dyDescent="0.25">
      <c r="A61" s="619">
        <v>18</v>
      </c>
      <c r="B61" s="1190" t="s">
        <v>5473</v>
      </c>
      <c r="C61" s="1191"/>
      <c r="D61" s="1192"/>
      <c r="E61" s="619">
        <v>2019</v>
      </c>
      <c r="F61" s="619">
        <v>2019</v>
      </c>
      <c r="G61" s="626">
        <f t="shared" si="0"/>
        <v>1835</v>
      </c>
      <c r="H61" s="624">
        <v>1835</v>
      </c>
      <c r="I61" s="621"/>
      <c r="J61" s="621"/>
      <c r="K61" s="625"/>
    </row>
    <row r="62" spans="1:11" ht="27.75" customHeight="1" x14ac:dyDescent="0.25">
      <c r="A62" s="619">
        <v>19</v>
      </c>
      <c r="B62" s="1190" t="s">
        <v>5319</v>
      </c>
      <c r="C62" s="1191"/>
      <c r="D62" s="1192"/>
      <c r="E62" s="619">
        <v>2019</v>
      </c>
      <c r="F62" s="619">
        <v>2019</v>
      </c>
      <c r="G62" s="626">
        <f t="shared" si="0"/>
        <v>178</v>
      </c>
      <c r="H62" s="624">
        <v>178</v>
      </c>
      <c r="I62" s="621"/>
      <c r="J62" s="621"/>
      <c r="K62" s="625"/>
    </row>
    <row r="63" spans="1:11" ht="24" customHeight="1" x14ac:dyDescent="0.25">
      <c r="A63" s="619">
        <v>20</v>
      </c>
      <c r="B63" s="1190" t="s">
        <v>5444</v>
      </c>
      <c r="C63" s="1191"/>
      <c r="D63" s="1192"/>
      <c r="E63" s="619">
        <v>2019</v>
      </c>
      <c r="F63" s="619">
        <v>2019</v>
      </c>
      <c r="G63" s="626">
        <f t="shared" si="0"/>
        <v>900</v>
      </c>
      <c r="H63" s="624">
        <v>900</v>
      </c>
      <c r="I63" s="621"/>
      <c r="J63" s="621"/>
      <c r="K63" s="625"/>
    </row>
    <row r="64" spans="1:11" ht="24" customHeight="1" x14ac:dyDescent="0.25">
      <c r="A64" s="619">
        <v>21</v>
      </c>
      <c r="B64" s="1176" t="s">
        <v>5445</v>
      </c>
      <c r="C64" s="1177"/>
      <c r="D64" s="1178"/>
      <c r="E64" s="619">
        <v>2019</v>
      </c>
      <c r="F64" s="619">
        <v>2019</v>
      </c>
      <c r="G64" s="626">
        <f t="shared" si="0"/>
        <v>3300</v>
      </c>
      <c r="H64" s="624">
        <v>3300</v>
      </c>
      <c r="I64" s="621"/>
      <c r="J64" s="621"/>
      <c r="K64" s="625"/>
    </row>
    <row r="65" spans="1:14" ht="18.75" customHeight="1" x14ac:dyDescent="0.25">
      <c r="A65" s="619">
        <v>22</v>
      </c>
      <c r="B65" s="1179" t="s">
        <v>5513</v>
      </c>
      <c r="C65" s="1180"/>
      <c r="D65" s="1186"/>
      <c r="E65" s="619">
        <v>2019</v>
      </c>
      <c r="F65" s="619">
        <v>2019</v>
      </c>
      <c r="G65" s="626">
        <f t="shared" si="0"/>
        <v>463</v>
      </c>
      <c r="H65" s="624">
        <v>463</v>
      </c>
      <c r="I65" s="621"/>
      <c r="J65" s="621"/>
      <c r="K65" s="625"/>
    </row>
    <row r="66" spans="1:14" ht="12.75" customHeight="1" x14ac:dyDescent="0.25">
      <c r="A66" s="619">
        <v>23</v>
      </c>
      <c r="B66" s="1176" t="s">
        <v>5510</v>
      </c>
      <c r="C66" s="1177"/>
      <c r="D66" s="1178"/>
      <c r="E66" s="619">
        <v>2019</v>
      </c>
      <c r="F66" s="619">
        <v>2019</v>
      </c>
      <c r="G66" s="626">
        <f t="shared" si="0"/>
        <v>2547</v>
      </c>
      <c r="H66" s="624">
        <v>2547</v>
      </c>
      <c r="I66" s="621"/>
      <c r="J66" s="621"/>
      <c r="K66" s="625"/>
    </row>
    <row r="67" spans="1:14" ht="12.75" customHeight="1" x14ac:dyDescent="0.25">
      <c r="A67" s="619">
        <v>24</v>
      </c>
      <c r="B67" s="1176" t="s">
        <v>5474</v>
      </c>
      <c r="C67" s="1177"/>
      <c r="D67" s="1178"/>
      <c r="E67" s="619">
        <v>2019</v>
      </c>
      <c r="F67" s="619">
        <v>2019</v>
      </c>
      <c r="G67" s="626">
        <f t="shared" si="0"/>
        <v>2000</v>
      </c>
      <c r="H67" s="624">
        <v>2000</v>
      </c>
      <c r="I67" s="621"/>
      <c r="J67" s="621"/>
      <c r="K67" s="625"/>
    </row>
    <row r="68" spans="1:14" ht="12.75" customHeight="1" x14ac:dyDescent="0.25">
      <c r="A68" s="619">
        <v>25</v>
      </c>
      <c r="B68" s="1176" t="s">
        <v>5514</v>
      </c>
      <c r="C68" s="1177"/>
      <c r="D68" s="1178"/>
      <c r="E68" s="619">
        <v>2019</v>
      </c>
      <c r="F68" s="619">
        <v>2019</v>
      </c>
      <c r="G68" s="626">
        <f t="shared" si="0"/>
        <v>3840</v>
      </c>
      <c r="H68" s="624">
        <v>3840</v>
      </c>
      <c r="I68" s="621"/>
      <c r="J68" s="621"/>
      <c r="K68" s="625"/>
    </row>
    <row r="69" spans="1:14" ht="12.75" customHeight="1" x14ac:dyDescent="0.25">
      <c r="A69" s="619">
        <v>26</v>
      </c>
      <c r="B69" s="1176" t="s">
        <v>5512</v>
      </c>
      <c r="C69" s="1177"/>
      <c r="D69" s="1178"/>
      <c r="E69" s="619">
        <v>2019</v>
      </c>
      <c r="F69" s="619">
        <v>2019</v>
      </c>
      <c r="G69" s="626">
        <f t="shared" si="0"/>
        <v>1250</v>
      </c>
      <c r="H69" s="624">
        <v>1250</v>
      </c>
      <c r="I69" s="621"/>
      <c r="J69" s="621"/>
      <c r="K69" s="625"/>
      <c r="N69">
        <v>559804</v>
      </c>
    </row>
    <row r="70" spans="1:14" x14ac:dyDescent="0.25">
      <c r="A70" s="1195" t="s">
        <v>4882</v>
      </c>
      <c r="B70" s="1195"/>
      <c r="C70" s="1195"/>
      <c r="D70" s="1195"/>
      <c r="E70" s="1195"/>
      <c r="F70" s="1195"/>
      <c r="G70" s="620">
        <f>SUM(G44:G69)</f>
        <v>234310</v>
      </c>
      <c r="H70" s="620">
        <f>SUM(H44:H69)</f>
        <v>104310</v>
      </c>
      <c r="I70" s="620">
        <f>SUM(I44:I64)</f>
        <v>100000</v>
      </c>
      <c r="J70" s="620">
        <f>SUM(J44:J64)</f>
        <v>30000</v>
      </c>
      <c r="K70" s="684">
        <f>SUM(K44:K64)</f>
        <v>0</v>
      </c>
      <c r="N70">
        <v>38516320.810000002</v>
      </c>
    </row>
    <row r="71" spans="1:14" x14ac:dyDescent="0.25">
      <c r="A71" s="205"/>
      <c r="B71" s="205"/>
      <c r="C71" s="205"/>
      <c r="D71" s="205"/>
      <c r="E71" s="205"/>
      <c r="F71" s="205"/>
      <c r="G71" s="551"/>
      <c r="H71" s="551"/>
      <c r="I71" s="551"/>
      <c r="J71" s="551"/>
      <c r="K71" s="551"/>
      <c r="N71">
        <f>N70+N69</f>
        <v>39076124.810000002</v>
      </c>
    </row>
    <row r="72" spans="1:14" x14ac:dyDescent="0.25">
      <c r="A72" s="1092" t="s">
        <v>4886</v>
      </c>
      <c r="B72" s="1092"/>
      <c r="C72" s="1092"/>
      <c r="D72" s="1092"/>
      <c r="E72" s="1092"/>
      <c r="F72" s="1092"/>
      <c r="G72" s="1092"/>
      <c r="H72" s="1092"/>
      <c r="I72" s="1092"/>
      <c r="J72" s="1092"/>
      <c r="K72" s="1092"/>
    </row>
    <row r="73" spans="1:14" x14ac:dyDescent="0.25">
      <c r="A73" s="754"/>
      <c r="B73" s="754"/>
      <c r="C73" s="754"/>
      <c r="D73" s="754"/>
      <c r="E73" s="754"/>
      <c r="F73" s="754"/>
      <c r="G73" s="754"/>
      <c r="H73" s="754"/>
      <c r="I73" s="754"/>
      <c r="J73" s="754"/>
      <c r="K73" s="754"/>
    </row>
    <row r="74" spans="1:14" x14ac:dyDescent="0.25">
      <c r="A74" s="1091" t="s">
        <v>5519</v>
      </c>
      <c r="B74" s="1091"/>
      <c r="C74" s="1091"/>
      <c r="D74" s="1091"/>
      <c r="E74" s="1091"/>
      <c r="F74" s="1091"/>
      <c r="G74" s="1091"/>
      <c r="H74" s="1091"/>
      <c r="I74" s="1091"/>
      <c r="J74" s="1091"/>
      <c r="K74" s="1091"/>
    </row>
    <row r="75" spans="1:14" x14ac:dyDescent="0.25">
      <c r="A75" s="205"/>
      <c r="B75" s="205"/>
      <c r="C75" s="205"/>
      <c r="D75" s="205"/>
      <c r="E75" s="205"/>
      <c r="F75" s="205"/>
      <c r="G75" s="551"/>
      <c r="H75" s="551"/>
      <c r="I75" s="551"/>
      <c r="J75" s="551"/>
      <c r="K75" s="551"/>
    </row>
    <row r="76" spans="1:14" x14ac:dyDescent="0.25">
      <c r="A76" s="1091" t="s">
        <v>5447</v>
      </c>
      <c r="B76" s="1091"/>
      <c r="C76" s="1091"/>
      <c r="D76" s="1091"/>
      <c r="E76" s="1091"/>
      <c r="F76" s="1091"/>
      <c r="G76" s="1091"/>
      <c r="H76" s="1091"/>
      <c r="I76" s="1091"/>
      <c r="J76" s="1091"/>
      <c r="K76" s="1091"/>
      <c r="N76" s="367">
        <f>99861450.16+'ПО КОРИСНИЦИМА'!L1836+'ПО КОРИСНИЦИМА'!P1836</f>
        <v>103849778.36</v>
      </c>
    </row>
    <row r="77" spans="1:14" x14ac:dyDescent="0.25">
      <c r="A77" s="1091" t="s">
        <v>5538</v>
      </c>
      <c r="B77" s="1091"/>
      <c r="C77" s="1091"/>
      <c r="D77" s="1091"/>
      <c r="E77" s="1091"/>
      <c r="F77" s="1091"/>
      <c r="G77" s="1091"/>
      <c r="H77" s="1091"/>
      <c r="I77" s="1091"/>
      <c r="J77" s="1091"/>
      <c r="K77" s="1091"/>
    </row>
    <row r="78" spans="1:14" x14ac:dyDescent="0.25">
      <c r="A78" s="1091" t="s">
        <v>5539</v>
      </c>
      <c r="B78" s="1091"/>
      <c r="C78" s="1091"/>
      <c r="D78" s="1091"/>
      <c r="E78" s="1091"/>
      <c r="F78" s="1091"/>
      <c r="G78" s="1091"/>
      <c r="H78" s="1091"/>
      <c r="I78" s="1091"/>
      <c r="J78" s="1091"/>
      <c r="K78" s="1091"/>
      <c r="N78" s="367">
        <f>34781720+'ПО КОРИСНИЦИМА'!P1836</f>
        <v>38616320.810000002</v>
      </c>
    </row>
    <row r="79" spans="1:14" x14ac:dyDescent="0.25">
      <c r="A79" s="1091" t="s">
        <v>5448</v>
      </c>
      <c r="B79" s="1091"/>
      <c r="C79" s="1091"/>
      <c r="D79" s="1091"/>
      <c r="E79" s="1091"/>
      <c r="F79" s="1091"/>
      <c r="G79" s="1091"/>
      <c r="H79" s="1091"/>
      <c r="I79" s="1091"/>
      <c r="J79" s="1091"/>
      <c r="K79" s="1091"/>
    </row>
    <row r="80" spans="1:14" x14ac:dyDescent="0.25">
      <c r="A80" s="1091" t="s">
        <v>5529</v>
      </c>
      <c r="B80" s="1091"/>
      <c r="C80" s="1091"/>
      <c r="D80" s="1091"/>
      <c r="E80" s="1091"/>
      <c r="F80" s="1091"/>
      <c r="G80" s="1091"/>
      <c r="H80" s="1091"/>
      <c r="I80" s="1091"/>
      <c r="J80" s="1091"/>
      <c r="K80" s="1091"/>
      <c r="N80" s="367">
        <f>47100391+'ПО КОРИСНИЦИМА'!L1836</f>
        <v>47254118.390000001</v>
      </c>
    </row>
    <row r="81" spans="1:15" x14ac:dyDescent="0.25">
      <c r="A81" s="755" t="s">
        <v>5515</v>
      </c>
      <c r="B81" s="755"/>
      <c r="C81" s="755"/>
      <c r="D81" s="755"/>
      <c r="E81" s="755"/>
      <c r="F81" s="755"/>
      <c r="G81" s="755"/>
      <c r="H81" s="755"/>
      <c r="I81" s="755"/>
      <c r="J81" s="755"/>
      <c r="K81" s="755"/>
    </row>
    <row r="82" spans="1:15" x14ac:dyDescent="0.25">
      <c r="A82" s="1091" t="s">
        <v>5516</v>
      </c>
      <c r="B82" s="1091"/>
      <c r="C82" s="1091"/>
      <c r="D82" s="1091"/>
      <c r="E82" s="1091"/>
      <c r="F82" s="1091"/>
      <c r="G82" s="1091"/>
      <c r="H82" s="1091"/>
      <c r="I82" s="1091"/>
      <c r="J82" s="1091"/>
      <c r="K82" s="1091"/>
    </row>
    <row r="83" spans="1:15" x14ac:dyDescent="0.25">
      <c r="A83" s="755" t="s">
        <v>5517</v>
      </c>
      <c r="B83" s="755"/>
      <c r="C83" s="755"/>
      <c r="D83" s="755"/>
      <c r="E83" s="755"/>
      <c r="F83" s="755"/>
      <c r="G83" s="755"/>
      <c r="H83" s="755"/>
      <c r="I83" s="755"/>
      <c r="J83" s="755"/>
      <c r="K83" s="755"/>
    </row>
    <row r="84" spans="1:15" hidden="1" x14ac:dyDescent="0.25">
      <c r="A84" s="1091"/>
      <c r="B84" s="1091"/>
      <c r="C84" s="1091"/>
      <c r="D84" s="1091"/>
      <c r="E84" s="1091"/>
      <c r="F84" s="1091"/>
      <c r="G84" s="1091"/>
      <c r="H84" s="1091"/>
      <c r="I84" s="1091"/>
      <c r="J84" s="1091"/>
      <c r="K84" s="1091"/>
    </row>
    <row r="85" spans="1:15" x14ac:dyDescent="0.25">
      <c r="A85" s="205" t="s">
        <v>5452</v>
      </c>
      <c r="B85" s="205"/>
      <c r="C85" s="205"/>
      <c r="D85" s="205"/>
      <c r="E85" s="205"/>
      <c r="F85" s="205"/>
      <c r="G85" s="551"/>
      <c r="H85" s="551"/>
      <c r="I85" s="551"/>
      <c r="J85" s="551"/>
      <c r="K85" s="551"/>
    </row>
    <row r="86" spans="1:15" x14ac:dyDescent="0.25">
      <c r="A86" s="205"/>
      <c r="B86" s="205"/>
      <c r="C86" s="205"/>
      <c r="D86" s="205"/>
      <c r="E86" s="205"/>
      <c r="F86" s="205"/>
      <c r="G86" s="551"/>
      <c r="H86" s="551"/>
      <c r="I86" s="551"/>
      <c r="J86" s="551"/>
      <c r="K86" s="551"/>
    </row>
    <row r="87" spans="1:15" hidden="1" x14ac:dyDescent="0.25">
      <c r="A87" s="205"/>
      <c r="B87" s="205"/>
      <c r="C87" s="205"/>
      <c r="D87" s="205"/>
      <c r="E87" s="205"/>
      <c r="F87" s="205"/>
      <c r="G87" s="551"/>
      <c r="H87" s="551"/>
      <c r="I87" s="551"/>
      <c r="J87" s="551"/>
      <c r="K87" s="551"/>
    </row>
    <row r="88" spans="1:15" ht="64.5" customHeight="1" x14ac:dyDescent="0.25">
      <c r="A88" s="612" t="s">
        <v>3860</v>
      </c>
      <c r="B88" s="1183" t="s">
        <v>4877</v>
      </c>
      <c r="C88" s="1184"/>
      <c r="D88" s="612" t="s">
        <v>5472</v>
      </c>
      <c r="E88" s="612" t="s">
        <v>5311</v>
      </c>
      <c r="F88" s="612" t="s">
        <v>5310</v>
      </c>
      <c r="G88" s="612" t="s">
        <v>5449</v>
      </c>
      <c r="H88" s="612" t="s">
        <v>5309</v>
      </c>
      <c r="I88" s="612" t="s">
        <v>5308</v>
      </c>
      <c r="J88" s="612" t="s">
        <v>5307</v>
      </c>
      <c r="K88" s="612" t="s">
        <v>4110</v>
      </c>
    </row>
    <row r="89" spans="1:15" s="515" customFormat="1" ht="12" customHeight="1" x14ac:dyDescent="0.25">
      <c r="A89" s="623">
        <v>1</v>
      </c>
      <c r="B89" s="1181" t="s">
        <v>5147</v>
      </c>
      <c r="C89" s="1182"/>
      <c r="D89" s="747"/>
      <c r="E89" s="624">
        <v>4398</v>
      </c>
      <c r="F89" s="624"/>
      <c r="G89" s="624"/>
      <c r="H89" s="624">
        <v>12254</v>
      </c>
      <c r="I89" s="624">
        <v>7000</v>
      </c>
      <c r="J89" s="624"/>
      <c r="K89" s="627">
        <f>SUM(E89:J89)</f>
        <v>23652</v>
      </c>
    </row>
    <row r="90" spans="1:15" ht="11.25" customHeight="1" x14ac:dyDescent="0.25">
      <c r="A90" s="619">
        <v>2</v>
      </c>
      <c r="B90" s="1179" t="s">
        <v>5188</v>
      </c>
      <c r="C90" s="1180"/>
      <c r="D90" s="746"/>
      <c r="E90" s="621"/>
      <c r="F90" s="622"/>
      <c r="G90" s="622"/>
      <c r="H90" s="621">
        <v>25000</v>
      </c>
      <c r="I90" s="621"/>
      <c r="J90" s="621"/>
      <c r="K90" s="626">
        <f t="shared" ref="K90:K110" si="1">SUM(E90:J90)</f>
        <v>25000</v>
      </c>
    </row>
    <row r="91" spans="1:15" ht="14.25" customHeight="1" x14ac:dyDescent="0.25">
      <c r="A91" s="623">
        <v>3</v>
      </c>
      <c r="B91" s="1179" t="s">
        <v>5290</v>
      </c>
      <c r="C91" s="1180"/>
      <c r="D91" s="746"/>
      <c r="E91" s="621">
        <v>300</v>
      </c>
      <c r="F91" s="622"/>
      <c r="G91" s="622"/>
      <c r="H91" s="621"/>
      <c r="I91" s="621"/>
      <c r="J91" s="621"/>
      <c r="K91" s="626">
        <v>300</v>
      </c>
      <c r="O91" s="367"/>
    </row>
    <row r="92" spans="1:15" ht="12.75" customHeight="1" x14ac:dyDescent="0.25">
      <c r="A92" s="619">
        <v>4</v>
      </c>
      <c r="B92" s="1179" t="s">
        <v>5291</v>
      </c>
      <c r="C92" s="1180"/>
      <c r="D92" s="746"/>
      <c r="E92" s="621">
        <v>4329</v>
      </c>
      <c r="F92" s="622"/>
      <c r="G92" s="622"/>
      <c r="H92" s="621"/>
      <c r="I92" s="621">
        <v>8000</v>
      </c>
      <c r="J92" s="621">
        <v>291</v>
      </c>
      <c r="K92" s="626">
        <f>SUM(E92:J92)</f>
        <v>12620</v>
      </c>
      <c r="O92" s="367"/>
    </row>
    <row r="93" spans="1:15" ht="27" customHeight="1" x14ac:dyDescent="0.25">
      <c r="A93" s="623">
        <v>5</v>
      </c>
      <c r="B93" s="1179" t="s">
        <v>5417</v>
      </c>
      <c r="C93" s="1180"/>
      <c r="D93" s="746"/>
      <c r="E93" s="621">
        <v>634</v>
      </c>
      <c r="F93" s="622"/>
      <c r="G93" s="622"/>
      <c r="H93" s="621"/>
      <c r="I93" s="621"/>
      <c r="J93" s="621"/>
      <c r="K93" s="626">
        <f t="shared" si="1"/>
        <v>634</v>
      </c>
    </row>
    <row r="94" spans="1:15" ht="40.5" customHeight="1" x14ac:dyDescent="0.25">
      <c r="A94" s="619">
        <v>6</v>
      </c>
      <c r="B94" s="1179" t="s">
        <v>5420</v>
      </c>
      <c r="C94" s="1180"/>
      <c r="D94" s="746"/>
      <c r="E94" s="621">
        <v>2773</v>
      </c>
      <c r="F94" s="628"/>
      <c r="G94" s="628"/>
      <c r="H94" s="621"/>
      <c r="I94" s="621"/>
      <c r="J94" s="621"/>
      <c r="K94" s="626">
        <f t="shared" si="1"/>
        <v>2773</v>
      </c>
    </row>
    <row r="95" spans="1:15" ht="39.75" customHeight="1" x14ac:dyDescent="0.25">
      <c r="A95" s="623">
        <v>7</v>
      </c>
      <c r="B95" s="1179" t="s">
        <v>5421</v>
      </c>
      <c r="C95" s="1180"/>
      <c r="D95" s="746"/>
      <c r="E95" s="621">
        <v>2773</v>
      </c>
      <c r="F95" s="628"/>
      <c r="G95" s="628"/>
      <c r="H95" s="621"/>
      <c r="I95" s="621"/>
      <c r="J95" s="621"/>
      <c r="K95" s="626">
        <f t="shared" si="1"/>
        <v>2773</v>
      </c>
    </row>
    <row r="96" spans="1:15" ht="42" customHeight="1" x14ac:dyDescent="0.25">
      <c r="A96" s="619">
        <v>8</v>
      </c>
      <c r="B96" s="1179" t="s">
        <v>5424</v>
      </c>
      <c r="C96" s="1180"/>
      <c r="D96" s="746"/>
      <c r="E96" s="621"/>
      <c r="F96" s="628"/>
      <c r="G96" s="628"/>
      <c r="H96" s="621"/>
      <c r="I96" s="621">
        <v>2530</v>
      </c>
      <c r="J96" s="621"/>
      <c r="K96" s="626">
        <f t="shared" si="1"/>
        <v>2530</v>
      </c>
    </row>
    <row r="97" spans="1:15" ht="29.25" customHeight="1" x14ac:dyDescent="0.25">
      <c r="A97" s="623">
        <v>9</v>
      </c>
      <c r="B97" s="1179" t="s">
        <v>5425</v>
      </c>
      <c r="C97" s="1180"/>
      <c r="D97" s="746"/>
      <c r="E97" s="621">
        <v>3327</v>
      </c>
      <c r="F97" s="628"/>
      <c r="G97" s="628"/>
      <c r="H97" s="621"/>
      <c r="I97" s="621"/>
      <c r="J97" s="621"/>
      <c r="K97" s="626">
        <f t="shared" si="1"/>
        <v>3327</v>
      </c>
    </row>
    <row r="98" spans="1:15" ht="36.75" customHeight="1" x14ac:dyDescent="0.25">
      <c r="A98" s="619">
        <v>10</v>
      </c>
      <c r="B98" s="1179" t="s">
        <v>5433</v>
      </c>
      <c r="C98" s="1180"/>
      <c r="D98" s="746"/>
      <c r="E98" s="621"/>
      <c r="F98" s="628"/>
      <c r="G98" s="628"/>
      <c r="H98" s="621">
        <v>5000</v>
      </c>
      <c r="I98" s="621"/>
      <c r="J98" s="621"/>
      <c r="K98" s="626">
        <f t="shared" si="1"/>
        <v>5000</v>
      </c>
    </row>
    <row r="99" spans="1:15" ht="39.75" customHeight="1" x14ac:dyDescent="0.25">
      <c r="A99" s="623">
        <v>11</v>
      </c>
      <c r="B99" s="1179" t="s">
        <v>5434</v>
      </c>
      <c r="C99" s="1180"/>
      <c r="D99" s="746"/>
      <c r="E99" s="621"/>
      <c r="F99" s="628"/>
      <c r="G99" s="628"/>
      <c r="H99" s="621">
        <v>5000</v>
      </c>
      <c r="I99" s="621"/>
      <c r="J99" s="621"/>
      <c r="K99" s="626">
        <f t="shared" si="1"/>
        <v>5000</v>
      </c>
    </row>
    <row r="100" spans="1:15" ht="27.75" customHeight="1" x14ac:dyDescent="0.25">
      <c r="A100" s="619">
        <v>12</v>
      </c>
      <c r="B100" s="1179" t="s">
        <v>5536</v>
      </c>
      <c r="C100" s="1180"/>
      <c r="D100" s="746"/>
      <c r="E100" s="621">
        <v>180</v>
      </c>
      <c r="F100" s="628"/>
      <c r="G100" s="628"/>
      <c r="H100" s="621"/>
      <c r="I100" s="621"/>
      <c r="J100" s="621"/>
      <c r="K100" s="626">
        <f t="shared" si="1"/>
        <v>180</v>
      </c>
    </row>
    <row r="101" spans="1:15" ht="27.75" customHeight="1" x14ac:dyDescent="0.25">
      <c r="A101" s="623">
        <v>13</v>
      </c>
      <c r="B101" s="1179" t="s">
        <v>5494</v>
      </c>
      <c r="C101" s="1186"/>
      <c r="D101" s="746"/>
      <c r="E101" s="621">
        <v>2773</v>
      </c>
      <c r="F101" s="628"/>
      <c r="G101" s="628"/>
      <c r="H101" s="621"/>
      <c r="I101" s="621"/>
      <c r="J101" s="621"/>
      <c r="K101" s="626">
        <f>SUM(D101:J101)</f>
        <v>2773</v>
      </c>
    </row>
    <row r="102" spans="1:15" ht="42" customHeight="1" x14ac:dyDescent="0.25">
      <c r="A102" s="619">
        <v>14</v>
      </c>
      <c r="B102" s="1179" t="s">
        <v>5499</v>
      </c>
      <c r="C102" s="1186"/>
      <c r="D102" s="746"/>
      <c r="E102" s="621">
        <v>475</v>
      </c>
      <c r="F102" s="628"/>
      <c r="G102" s="628"/>
      <c r="H102" s="621"/>
      <c r="I102" s="621"/>
      <c r="J102" s="621"/>
      <c r="K102" s="626">
        <f>SUM(D102:J102)</f>
        <v>475</v>
      </c>
    </row>
    <row r="103" spans="1:15" ht="25.5" customHeight="1" x14ac:dyDescent="0.25">
      <c r="A103" s="623">
        <v>15</v>
      </c>
      <c r="B103" s="1179" t="s">
        <v>5442</v>
      </c>
      <c r="C103" s="1180"/>
      <c r="D103" s="746"/>
      <c r="E103" s="621">
        <v>190</v>
      </c>
      <c r="F103" s="628">
        <v>30</v>
      </c>
      <c r="G103" s="628"/>
      <c r="H103" s="621"/>
      <c r="I103" s="621"/>
      <c r="J103" s="621"/>
      <c r="K103" s="626">
        <f t="shared" si="1"/>
        <v>220</v>
      </c>
    </row>
    <row r="104" spans="1:15" ht="25.5" customHeight="1" x14ac:dyDescent="0.25">
      <c r="A104" s="619">
        <v>16</v>
      </c>
      <c r="B104" s="1179" t="s">
        <v>5300</v>
      </c>
      <c r="C104" s="1180"/>
      <c r="D104" s="746"/>
      <c r="E104" s="621">
        <v>450</v>
      </c>
      <c r="F104" s="628"/>
      <c r="G104" s="628"/>
      <c r="H104" s="621"/>
      <c r="I104" s="621"/>
      <c r="J104" s="621">
        <v>100</v>
      </c>
      <c r="K104" s="626">
        <f t="shared" si="1"/>
        <v>550</v>
      </c>
    </row>
    <row r="105" spans="1:15" ht="15.75" customHeight="1" x14ac:dyDescent="0.25">
      <c r="A105" s="623">
        <v>17</v>
      </c>
      <c r="B105" s="1179" t="s">
        <v>5302</v>
      </c>
      <c r="C105" s="1180"/>
      <c r="D105" s="746"/>
      <c r="E105" s="621">
        <v>190</v>
      </c>
      <c r="F105" s="628"/>
      <c r="G105" s="628"/>
      <c r="H105" s="621"/>
      <c r="I105" s="621"/>
      <c r="J105" s="621"/>
      <c r="K105" s="626">
        <f t="shared" si="1"/>
        <v>190</v>
      </c>
    </row>
    <row r="106" spans="1:15" ht="39.75" customHeight="1" x14ac:dyDescent="0.25">
      <c r="A106" s="619">
        <v>18</v>
      </c>
      <c r="B106" s="1179" t="s">
        <v>5475</v>
      </c>
      <c r="C106" s="1180"/>
      <c r="D106" s="746"/>
      <c r="E106" s="621">
        <v>1835</v>
      </c>
      <c r="F106" s="628"/>
      <c r="G106" s="628"/>
      <c r="H106" s="621"/>
      <c r="I106" s="621"/>
      <c r="J106" s="621"/>
      <c r="K106" s="626">
        <v>1835</v>
      </c>
    </row>
    <row r="107" spans="1:15" ht="25.5" customHeight="1" x14ac:dyDescent="0.25">
      <c r="A107" s="623">
        <v>19</v>
      </c>
      <c r="B107" s="1179" t="s">
        <v>5319</v>
      </c>
      <c r="C107" s="1180"/>
      <c r="D107" s="746">
        <v>28</v>
      </c>
      <c r="E107" s="621">
        <v>150</v>
      </c>
      <c r="F107" s="628"/>
      <c r="G107" s="628"/>
      <c r="H107" s="621"/>
      <c r="I107" s="621"/>
      <c r="J107" s="621"/>
      <c r="K107" s="626">
        <f>SUM(D107:J107)</f>
        <v>178</v>
      </c>
    </row>
    <row r="108" spans="1:15" ht="24.75" customHeight="1" x14ac:dyDescent="0.25">
      <c r="A108" s="619">
        <v>20</v>
      </c>
      <c r="B108" s="1179" t="s">
        <v>5444</v>
      </c>
      <c r="C108" s="1180"/>
      <c r="D108" s="746"/>
      <c r="E108" s="621">
        <v>900</v>
      </c>
      <c r="F108" s="628"/>
      <c r="G108" s="628"/>
      <c r="H108" s="621"/>
      <c r="I108" s="621"/>
      <c r="J108" s="621"/>
      <c r="K108" s="626">
        <f t="shared" si="1"/>
        <v>900</v>
      </c>
    </row>
    <row r="109" spans="1:15" ht="24.75" customHeight="1" x14ac:dyDescent="0.25">
      <c r="A109" s="623">
        <v>21</v>
      </c>
      <c r="B109" s="1179" t="s">
        <v>5476</v>
      </c>
      <c r="C109" s="1180"/>
      <c r="D109" s="746"/>
      <c r="E109" s="621">
        <v>3300</v>
      </c>
      <c r="F109" s="628"/>
      <c r="G109" s="628"/>
      <c r="H109" s="621"/>
      <c r="I109" s="621"/>
      <c r="J109" s="621"/>
      <c r="K109" s="626">
        <f t="shared" si="1"/>
        <v>3300</v>
      </c>
      <c r="O109" s="367"/>
    </row>
    <row r="110" spans="1:15" ht="24.75" customHeight="1" x14ac:dyDescent="0.25">
      <c r="A110" s="619">
        <v>22</v>
      </c>
      <c r="B110" s="1179" t="s">
        <v>5513</v>
      </c>
      <c r="C110" s="1186"/>
      <c r="D110" s="746"/>
      <c r="E110" s="621">
        <v>463</v>
      </c>
      <c r="F110" s="628"/>
      <c r="G110" s="628"/>
      <c r="H110" s="621"/>
      <c r="I110" s="621"/>
      <c r="J110" s="621"/>
      <c r="K110" s="626">
        <f t="shared" si="1"/>
        <v>463</v>
      </c>
    </row>
    <row r="111" spans="1:15" ht="25.5" customHeight="1" x14ac:dyDescent="0.25">
      <c r="A111" s="623">
        <v>23</v>
      </c>
      <c r="B111" s="1179" t="s">
        <v>5511</v>
      </c>
      <c r="C111" s="1180"/>
      <c r="D111" s="746"/>
      <c r="E111" s="621">
        <v>2547</v>
      </c>
      <c r="F111" s="628"/>
      <c r="G111" s="628"/>
      <c r="H111" s="621"/>
      <c r="I111" s="621"/>
      <c r="J111" s="621"/>
      <c r="K111" s="626">
        <f>SUM(D111:J111)</f>
        <v>2547</v>
      </c>
    </row>
    <row r="112" spans="1:15" ht="12" customHeight="1" x14ac:dyDescent="0.25">
      <c r="A112" s="619">
        <v>24</v>
      </c>
      <c r="B112" s="1194" t="s">
        <v>5474</v>
      </c>
      <c r="C112" s="1194"/>
      <c r="D112" s="749"/>
      <c r="E112" s="621">
        <v>2000</v>
      </c>
      <c r="F112" s="628"/>
      <c r="G112" s="628"/>
      <c r="H112" s="621"/>
      <c r="I112" s="621"/>
      <c r="J112" s="621"/>
      <c r="K112" s="626">
        <f>SUM(D112:J112)</f>
        <v>2000</v>
      </c>
    </row>
    <row r="113" spans="1:15" ht="53.25" customHeight="1" x14ac:dyDescent="0.25">
      <c r="A113" s="623">
        <v>25</v>
      </c>
      <c r="B113" s="1179" t="s">
        <v>5514</v>
      </c>
      <c r="C113" s="1186"/>
      <c r="D113" s="749"/>
      <c r="E113" s="621">
        <v>3840</v>
      </c>
      <c r="F113" s="628"/>
      <c r="G113" s="628"/>
      <c r="H113" s="621"/>
      <c r="I113" s="621"/>
      <c r="J113" s="621"/>
      <c r="K113" s="626">
        <f>SUM(D113:J113)</f>
        <v>3840</v>
      </c>
    </row>
    <row r="114" spans="1:15" ht="30" customHeight="1" x14ac:dyDescent="0.25">
      <c r="A114" s="619">
        <v>26</v>
      </c>
      <c r="B114" s="1179" t="s">
        <v>5512</v>
      </c>
      <c r="C114" s="1186"/>
      <c r="D114" s="749"/>
      <c r="E114" s="621">
        <v>1250</v>
      </c>
      <c r="F114" s="628"/>
      <c r="G114" s="628"/>
      <c r="H114" s="621"/>
      <c r="I114" s="621"/>
      <c r="J114" s="621"/>
      <c r="K114" s="626">
        <f>SUM(D114:J114)</f>
        <v>1250</v>
      </c>
      <c r="N114" s="367"/>
    </row>
    <row r="115" spans="1:15" x14ac:dyDescent="0.25">
      <c r="A115" s="1185" t="s">
        <v>4882</v>
      </c>
      <c r="B115" s="1185"/>
      <c r="C115" s="1185"/>
      <c r="D115" s="748">
        <f>SUM(D107:D111)</f>
        <v>28</v>
      </c>
      <c r="E115" s="629">
        <f>SUM(E89:E114)</f>
        <v>39077</v>
      </c>
      <c r="F115" s="620">
        <f>SUM(F89:F109)</f>
        <v>30</v>
      </c>
      <c r="G115" s="620">
        <f>SUM(G89:G109)</f>
        <v>0</v>
      </c>
      <c r="H115" s="620">
        <f>SUM(H89:H109)</f>
        <v>47254</v>
      </c>
      <c r="I115" s="620">
        <f>SUM(I89:I109)</f>
        <v>17530</v>
      </c>
      <c r="J115" s="620">
        <f>SUM(J89:J109)</f>
        <v>391</v>
      </c>
      <c r="K115" s="629">
        <f>SUM(D115:J115)</f>
        <v>104310</v>
      </c>
      <c r="O115" s="367"/>
    </row>
    <row r="116" spans="1:15" x14ac:dyDescent="0.25">
      <c r="A116" s="205"/>
      <c r="B116" s="205"/>
      <c r="C116" s="205"/>
      <c r="D116" s="205"/>
      <c r="E116" s="205"/>
      <c r="F116" s="205"/>
      <c r="G116" s="551"/>
      <c r="H116" s="551"/>
      <c r="I116" s="551"/>
      <c r="J116" s="551"/>
      <c r="K116" s="551"/>
      <c r="O116" s="367"/>
    </row>
    <row r="117" spans="1:15" x14ac:dyDescent="0.25">
      <c r="A117" s="205" t="s">
        <v>5450</v>
      </c>
      <c r="B117" s="205"/>
      <c r="C117" s="205"/>
      <c r="D117" s="205"/>
      <c r="E117" s="205"/>
      <c r="F117" s="205"/>
      <c r="G117" s="551"/>
      <c r="H117" s="551"/>
      <c r="I117" s="551"/>
      <c r="J117" s="551"/>
      <c r="K117" s="551"/>
    </row>
    <row r="118" spans="1:15" x14ac:dyDescent="0.25">
      <c r="A118" s="205" t="s">
        <v>5518</v>
      </c>
      <c r="B118" s="205"/>
      <c r="C118" s="205"/>
      <c r="D118" s="205"/>
      <c r="E118" s="205"/>
      <c r="F118" s="205"/>
      <c r="G118" s="551"/>
      <c r="H118" s="551"/>
      <c r="I118" s="551"/>
      <c r="J118" s="551"/>
      <c r="K118" s="551"/>
    </row>
    <row r="119" spans="1:15" hidden="1" x14ac:dyDescent="0.25">
      <c r="A119" s="205"/>
      <c r="B119" s="205"/>
      <c r="C119" s="205"/>
      <c r="D119" s="205"/>
      <c r="E119" s="205"/>
      <c r="F119" s="205"/>
      <c r="G119" s="205"/>
      <c r="H119" s="205"/>
      <c r="I119" s="205"/>
      <c r="J119" s="205"/>
      <c r="K119" s="205"/>
    </row>
    <row r="120" spans="1:15" hidden="1" x14ac:dyDescent="0.25">
      <c r="A120" s="205"/>
      <c r="B120" s="205"/>
      <c r="C120" s="205"/>
      <c r="D120" s="205"/>
      <c r="E120" s="205"/>
      <c r="F120" s="205"/>
      <c r="G120" s="205"/>
      <c r="H120" s="205"/>
      <c r="I120" s="205"/>
      <c r="J120" s="205"/>
      <c r="K120" s="205"/>
    </row>
    <row r="121" spans="1:15" x14ac:dyDescent="0.25">
      <c r="A121" s="205" t="s">
        <v>5451</v>
      </c>
      <c r="B121" s="205"/>
      <c r="C121" s="205"/>
      <c r="D121" s="205"/>
      <c r="E121" s="205"/>
      <c r="F121" s="205"/>
      <c r="G121" s="205"/>
      <c r="H121" s="205"/>
      <c r="I121" s="205"/>
      <c r="J121" s="205"/>
      <c r="K121" s="205"/>
    </row>
    <row r="122" spans="1:15" x14ac:dyDescent="0.25">
      <c r="A122" s="205" t="s">
        <v>5312</v>
      </c>
      <c r="B122" s="205"/>
      <c r="C122" s="205"/>
      <c r="D122" s="205"/>
      <c r="E122" s="205"/>
      <c r="F122" s="205"/>
      <c r="G122" s="205"/>
      <c r="H122" s="205"/>
      <c r="I122" s="205"/>
      <c r="J122" s="205"/>
      <c r="K122" s="205"/>
    </row>
  </sheetData>
  <mergeCells count="86">
    <mergeCell ref="B114:C114"/>
    <mergeCell ref="B69:D69"/>
    <mergeCell ref="B113:C113"/>
    <mergeCell ref="B68:D68"/>
    <mergeCell ref="B101:C101"/>
    <mergeCell ref="B102:C102"/>
    <mergeCell ref="A77:K77"/>
    <mergeCell ref="A84:K84"/>
    <mergeCell ref="A78:K78"/>
    <mergeCell ref="A80:K80"/>
    <mergeCell ref="A82:K82"/>
    <mergeCell ref="A79:K79"/>
    <mergeCell ref="B108:C108"/>
    <mergeCell ref="B56:D56"/>
    <mergeCell ref="B57:D57"/>
    <mergeCell ref="B65:D65"/>
    <mergeCell ref="B67:D67"/>
    <mergeCell ref="B112:C112"/>
    <mergeCell ref="A76:K76"/>
    <mergeCell ref="A70:F70"/>
    <mergeCell ref="A74:K74"/>
    <mergeCell ref="A72:K72"/>
    <mergeCell ref="B97:C97"/>
    <mergeCell ref="B96:C96"/>
    <mergeCell ref="B95:C95"/>
    <mergeCell ref="B94:C94"/>
    <mergeCell ref="B93:C93"/>
    <mergeCell ref="B92:C92"/>
    <mergeCell ref="B91:C91"/>
    <mergeCell ref="B44:D44"/>
    <mergeCell ref="B45:D45"/>
    <mergeCell ref="B46:D46"/>
    <mergeCell ref="B47:D47"/>
    <mergeCell ref="B43:D43"/>
    <mergeCell ref="B58:D58"/>
    <mergeCell ref="B59:D59"/>
    <mergeCell ref="B60:D60"/>
    <mergeCell ref="B61:D61"/>
    <mergeCell ref="B64:D64"/>
    <mergeCell ref="B63:D63"/>
    <mergeCell ref="B62:D62"/>
    <mergeCell ref="A15:K15"/>
    <mergeCell ref="A19:K19"/>
    <mergeCell ref="A21:K21"/>
    <mergeCell ref="A40:K40"/>
    <mergeCell ref="A42:K42"/>
    <mergeCell ref="A22:K22"/>
    <mergeCell ref="A23:K23"/>
    <mergeCell ref="A25:K25"/>
    <mergeCell ref="A36:K36"/>
    <mergeCell ref="A29:K29"/>
    <mergeCell ref="A26:K26"/>
    <mergeCell ref="A30:K30"/>
    <mergeCell ref="A31:K31"/>
    <mergeCell ref="A32:K32"/>
    <mergeCell ref="A34:K34"/>
    <mergeCell ref="A38:K38"/>
    <mergeCell ref="A1:K1"/>
    <mergeCell ref="A5:K5"/>
    <mergeCell ref="A6:K6"/>
    <mergeCell ref="A7:K7"/>
    <mergeCell ref="A9:K9"/>
    <mergeCell ref="B48:D48"/>
    <mergeCell ref="B55:D55"/>
    <mergeCell ref="B49:D49"/>
    <mergeCell ref="B50:D50"/>
    <mergeCell ref="B51:D51"/>
    <mergeCell ref="B52:D52"/>
    <mergeCell ref="B53:D53"/>
    <mergeCell ref="B54:D54"/>
    <mergeCell ref="B66:D66"/>
    <mergeCell ref="B90:C90"/>
    <mergeCell ref="B89:C89"/>
    <mergeCell ref="B88:C88"/>
    <mergeCell ref="A115:C115"/>
    <mergeCell ref="B104:C104"/>
    <mergeCell ref="B103:C103"/>
    <mergeCell ref="B99:C99"/>
    <mergeCell ref="B100:C100"/>
    <mergeCell ref="B98:C98"/>
    <mergeCell ref="B110:C110"/>
    <mergeCell ref="B107:C107"/>
    <mergeCell ref="B106:C106"/>
    <mergeCell ref="B105:C105"/>
    <mergeCell ref="B111:C111"/>
    <mergeCell ref="B109:C109"/>
  </mergeCells>
  <printOptions horizontalCentered="1"/>
  <pageMargins left="0.196850393700787" right="0.196850393700787" top="0.196850393700787" bottom="0.196850393700787" header="0" footer="0"/>
  <pageSetup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AD4732"/>
  <sheetViews>
    <sheetView workbookViewId="0">
      <selection activeCell="D8" sqref="D8"/>
    </sheetView>
  </sheetViews>
  <sheetFormatPr defaultRowHeight="15" x14ac:dyDescent="0.2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x14ac:dyDescent="0.3">
      <c r="A1" s="1196" t="s">
        <v>94</v>
      </c>
      <c r="B1" s="1196"/>
      <c r="G1" s="1197" t="s">
        <v>234</v>
      </c>
      <c r="H1" s="1197"/>
      <c r="L1" s="1198" t="s">
        <v>265</v>
      </c>
      <c r="M1" s="1198"/>
      <c r="N1" s="63"/>
      <c r="O1" s="63"/>
      <c r="P1" s="63" t="s">
        <v>3559</v>
      </c>
    </row>
    <row r="2" spans="1:18" x14ac:dyDescent="0.25">
      <c r="A2" s="54">
        <v>0</v>
      </c>
      <c r="B2" s="53" t="s">
        <v>95</v>
      </c>
      <c r="G2" s="164" t="s">
        <v>235</v>
      </c>
      <c r="H2" s="165" t="s">
        <v>236</v>
      </c>
      <c r="L2" s="64" t="s">
        <v>3558</v>
      </c>
      <c r="M2" s="64" t="s">
        <v>23</v>
      </c>
      <c r="P2" s="62" t="s">
        <v>3605</v>
      </c>
      <c r="Q2" s="62" t="s">
        <v>3606</v>
      </c>
      <c r="R2" s="62" t="s">
        <v>3607</v>
      </c>
    </row>
    <row r="3" spans="1:18" x14ac:dyDescent="0.25">
      <c r="A3" s="57">
        <v>10</v>
      </c>
      <c r="B3" s="56" t="s">
        <v>96</v>
      </c>
      <c r="G3" s="164" t="s">
        <v>237</v>
      </c>
      <c r="H3" s="165" t="s">
        <v>238</v>
      </c>
      <c r="L3" s="65">
        <v>0</v>
      </c>
      <c r="M3" t="s">
        <v>266</v>
      </c>
      <c r="O3" s="61"/>
      <c r="P3" s="67" t="s">
        <v>3667</v>
      </c>
      <c r="Q3" s="68" t="s">
        <v>3561</v>
      </c>
      <c r="R3" s="69" t="s">
        <v>3562</v>
      </c>
    </row>
    <row r="4" spans="1:18" x14ac:dyDescent="0.25">
      <c r="A4" s="57">
        <v>20</v>
      </c>
      <c r="B4" s="56" t="s">
        <v>97</v>
      </c>
      <c r="G4" s="164" t="s">
        <v>239</v>
      </c>
      <c r="H4" s="165" t="s">
        <v>240</v>
      </c>
      <c r="L4" s="65">
        <v>10000</v>
      </c>
      <c r="M4" t="s">
        <v>267</v>
      </c>
      <c r="O4" s="60"/>
      <c r="P4" s="67" t="s">
        <v>3668</v>
      </c>
      <c r="Q4" s="68" t="s">
        <v>3564</v>
      </c>
      <c r="R4" s="69" t="s">
        <v>3565</v>
      </c>
    </row>
    <row r="5" spans="1:18" x14ac:dyDescent="0.25">
      <c r="A5" s="57">
        <v>30</v>
      </c>
      <c r="B5" s="56" t="s">
        <v>98</v>
      </c>
      <c r="G5" s="164" t="s">
        <v>241</v>
      </c>
      <c r="H5" s="165" t="s">
        <v>242</v>
      </c>
      <c r="L5" s="65">
        <v>11000</v>
      </c>
      <c r="M5" t="s">
        <v>268</v>
      </c>
      <c r="P5" s="67" t="s">
        <v>3669</v>
      </c>
      <c r="Q5" s="68" t="s">
        <v>3567</v>
      </c>
      <c r="R5" s="69" t="s">
        <v>3568</v>
      </c>
    </row>
    <row r="6" spans="1:18" x14ac:dyDescent="0.25">
      <c r="A6" s="57">
        <v>40</v>
      </c>
      <c r="B6" s="56" t="s">
        <v>99</v>
      </c>
      <c r="G6" s="164" t="s">
        <v>243</v>
      </c>
      <c r="H6" s="165" t="s">
        <v>244</v>
      </c>
      <c r="L6" s="65">
        <v>11100</v>
      </c>
      <c r="M6" t="s">
        <v>269</v>
      </c>
      <c r="P6" s="67" t="s">
        <v>3670</v>
      </c>
      <c r="Q6" s="68" t="s">
        <v>3570</v>
      </c>
      <c r="R6" s="69" t="s">
        <v>3571</v>
      </c>
    </row>
    <row r="7" spans="1:18" x14ac:dyDescent="0.25">
      <c r="A7" s="57">
        <v>50</v>
      </c>
      <c r="B7" s="56" t="s">
        <v>100</v>
      </c>
      <c r="G7" s="164" t="s">
        <v>245</v>
      </c>
      <c r="H7" s="165" t="s">
        <v>246</v>
      </c>
      <c r="L7" s="65">
        <v>11110</v>
      </c>
      <c r="M7" t="s">
        <v>270</v>
      </c>
      <c r="P7" s="67" t="s">
        <v>3671</v>
      </c>
      <c r="Q7" s="68" t="s">
        <v>3573</v>
      </c>
      <c r="R7" s="69" t="s">
        <v>3574</v>
      </c>
    </row>
    <row r="8" spans="1:18" x14ac:dyDescent="0.25">
      <c r="A8" s="57">
        <v>60</v>
      </c>
      <c r="B8" s="56" t="s">
        <v>101</v>
      </c>
      <c r="G8" s="164" t="s">
        <v>247</v>
      </c>
      <c r="H8" s="165" t="s">
        <v>4743</v>
      </c>
      <c r="L8" s="65">
        <v>11111</v>
      </c>
      <c r="M8" t="s">
        <v>271</v>
      </c>
      <c r="P8" s="67" t="s">
        <v>3672</v>
      </c>
      <c r="Q8" s="68" t="s">
        <v>3576</v>
      </c>
      <c r="R8" s="69" t="s">
        <v>3577</v>
      </c>
    </row>
    <row r="9" spans="1:18" x14ac:dyDescent="0.25">
      <c r="A9" s="57">
        <v>70</v>
      </c>
      <c r="B9" s="56" t="s">
        <v>102</v>
      </c>
      <c r="G9" s="164" t="s">
        <v>248</v>
      </c>
      <c r="H9" s="165" t="s">
        <v>4744</v>
      </c>
      <c r="L9" s="65">
        <v>11112</v>
      </c>
      <c r="M9" t="s">
        <v>272</v>
      </c>
      <c r="P9" s="67" t="s">
        <v>3673</v>
      </c>
      <c r="Q9" s="68" t="s">
        <v>3579</v>
      </c>
      <c r="R9" s="69" t="s">
        <v>3580</v>
      </c>
    </row>
    <row r="10" spans="1:18" x14ac:dyDescent="0.25">
      <c r="A10" s="57">
        <v>80</v>
      </c>
      <c r="B10" s="56" t="s">
        <v>103</v>
      </c>
      <c r="G10" s="164" t="s">
        <v>249</v>
      </c>
      <c r="H10" s="165" t="s">
        <v>58</v>
      </c>
      <c r="L10" s="65">
        <v>11113</v>
      </c>
      <c r="M10" t="s">
        <v>273</v>
      </c>
      <c r="P10" s="67" t="s">
        <v>3674</v>
      </c>
      <c r="Q10" s="68" t="s">
        <v>3582</v>
      </c>
      <c r="R10" s="69" t="s">
        <v>3583</v>
      </c>
    </row>
    <row r="11" spans="1:18" x14ac:dyDescent="0.25">
      <c r="A11" s="57">
        <v>90</v>
      </c>
      <c r="B11" s="56" t="s">
        <v>104</v>
      </c>
      <c r="G11" s="164" t="s">
        <v>250</v>
      </c>
      <c r="H11" s="165" t="s">
        <v>251</v>
      </c>
      <c r="L11" s="65">
        <v>11115</v>
      </c>
      <c r="M11" t="s">
        <v>274</v>
      </c>
      <c r="P11" s="67" t="s">
        <v>3675</v>
      </c>
      <c r="Q11" s="68" t="s">
        <v>3585</v>
      </c>
      <c r="R11" s="69" t="s">
        <v>3586</v>
      </c>
    </row>
    <row r="12" spans="1:18" x14ac:dyDescent="0.25">
      <c r="A12" s="52">
        <v>100</v>
      </c>
      <c r="B12" s="53" t="s">
        <v>105</v>
      </c>
      <c r="G12" s="164" t="s">
        <v>252</v>
      </c>
      <c r="H12" s="165" t="s">
        <v>253</v>
      </c>
      <c r="L12" s="65">
        <v>11116</v>
      </c>
      <c r="M12" t="s">
        <v>275</v>
      </c>
      <c r="P12" s="67" t="s">
        <v>3676</v>
      </c>
      <c r="Q12" s="68" t="s">
        <v>3588</v>
      </c>
      <c r="R12" s="69" t="s">
        <v>3589</v>
      </c>
    </row>
    <row r="13" spans="1:18" x14ac:dyDescent="0.25">
      <c r="A13" s="55">
        <v>110</v>
      </c>
      <c r="B13" s="56" t="s">
        <v>106</v>
      </c>
      <c r="G13" s="164" t="s">
        <v>254</v>
      </c>
      <c r="H13" s="165" t="s">
        <v>255</v>
      </c>
      <c r="L13" s="65">
        <v>11117</v>
      </c>
      <c r="M13" t="s">
        <v>276</v>
      </c>
      <c r="P13" s="67" t="s">
        <v>3677</v>
      </c>
      <c r="Q13" s="68" t="s">
        <v>3591</v>
      </c>
      <c r="R13" s="69" t="s">
        <v>3592</v>
      </c>
    </row>
    <row r="14" spans="1:18" x14ac:dyDescent="0.25">
      <c r="A14" s="58">
        <v>111</v>
      </c>
      <c r="B14" s="59" t="s">
        <v>107</v>
      </c>
      <c r="G14" s="164" t="s">
        <v>256</v>
      </c>
      <c r="H14" s="165" t="s">
        <v>257</v>
      </c>
      <c r="L14" s="65">
        <v>11118</v>
      </c>
      <c r="M14" t="s">
        <v>277</v>
      </c>
      <c r="P14" s="67" t="s">
        <v>3678</v>
      </c>
      <c r="Q14" s="68" t="s">
        <v>3594</v>
      </c>
      <c r="R14" s="69" t="s">
        <v>3595</v>
      </c>
    </row>
    <row r="15" spans="1:18" x14ac:dyDescent="0.25">
      <c r="A15" s="58">
        <v>112</v>
      </c>
      <c r="B15" s="59" t="s">
        <v>108</v>
      </c>
      <c r="G15" s="164" t="s">
        <v>258</v>
      </c>
      <c r="H15" s="165" t="s">
        <v>259</v>
      </c>
      <c r="L15" s="65">
        <v>11119</v>
      </c>
      <c r="M15" t="s">
        <v>278</v>
      </c>
      <c r="P15" s="67" t="s">
        <v>3679</v>
      </c>
      <c r="Q15" s="68" t="s">
        <v>3597</v>
      </c>
      <c r="R15" s="69" t="s">
        <v>3598</v>
      </c>
    </row>
    <row r="16" spans="1:18" x14ac:dyDescent="0.25">
      <c r="A16" s="58">
        <v>113</v>
      </c>
      <c r="B16" s="59" t="s">
        <v>109</v>
      </c>
      <c r="G16" s="164" t="s">
        <v>260</v>
      </c>
      <c r="H16" s="165" t="s">
        <v>261</v>
      </c>
      <c r="L16" s="65">
        <v>11120</v>
      </c>
      <c r="M16" t="s">
        <v>279</v>
      </c>
      <c r="P16" s="67" t="s">
        <v>3680</v>
      </c>
      <c r="Q16" s="68" t="s">
        <v>3600</v>
      </c>
      <c r="R16" s="69" t="s">
        <v>3601</v>
      </c>
    </row>
    <row r="17" spans="1:30" x14ac:dyDescent="0.25">
      <c r="A17" s="55">
        <v>120</v>
      </c>
      <c r="B17" s="56" t="s">
        <v>110</v>
      </c>
      <c r="G17" s="164" t="s">
        <v>262</v>
      </c>
      <c r="H17" s="165" t="s">
        <v>263</v>
      </c>
      <c r="L17" s="65">
        <v>11121</v>
      </c>
      <c r="M17" t="s">
        <v>280</v>
      </c>
      <c r="P17" s="67" t="s">
        <v>3681</v>
      </c>
      <c r="Q17" s="68" t="s">
        <v>3603</v>
      </c>
      <c r="R17" s="69" t="s">
        <v>3604</v>
      </c>
    </row>
    <row r="18" spans="1:30" x14ac:dyDescent="0.25">
      <c r="A18" s="58">
        <v>121</v>
      </c>
      <c r="B18" s="59" t="s">
        <v>111</v>
      </c>
      <c r="L18" s="65">
        <v>11125</v>
      </c>
      <c r="M18" t="s">
        <v>281</v>
      </c>
    </row>
    <row r="19" spans="1:30" x14ac:dyDescent="0.25">
      <c r="A19" s="58">
        <v>122</v>
      </c>
      <c r="B19" s="59" t="s">
        <v>112</v>
      </c>
      <c r="L19" s="65">
        <v>11126</v>
      </c>
      <c r="M19" t="s">
        <v>282</v>
      </c>
    </row>
    <row r="20" spans="1:30" x14ac:dyDescent="0.25">
      <c r="A20" s="55">
        <v>130</v>
      </c>
      <c r="B20" s="56" t="s">
        <v>113</v>
      </c>
      <c r="L20" s="65">
        <v>11127</v>
      </c>
      <c r="M20" t="s">
        <v>283</v>
      </c>
    </row>
    <row r="21" spans="1:30" x14ac:dyDescent="0.25">
      <c r="A21" s="58">
        <v>131</v>
      </c>
      <c r="B21" s="59" t="s">
        <v>114</v>
      </c>
      <c r="L21" s="65">
        <v>11128</v>
      </c>
      <c r="M21" t="s">
        <v>284</v>
      </c>
    </row>
    <row r="22" spans="1:30" x14ac:dyDescent="0.25">
      <c r="A22" s="58">
        <v>132</v>
      </c>
      <c r="B22" s="59" t="s">
        <v>115</v>
      </c>
      <c r="L22" s="65">
        <v>11129</v>
      </c>
      <c r="M22" t="s">
        <v>285</v>
      </c>
    </row>
    <row r="23" spans="1:30" x14ac:dyDescent="0.25">
      <c r="A23" s="58">
        <v>133</v>
      </c>
      <c r="B23" s="59" t="s">
        <v>116</v>
      </c>
      <c r="L23" s="65">
        <v>11130</v>
      </c>
      <c r="M23" t="s">
        <v>286</v>
      </c>
      <c r="P23" s="70" t="s">
        <v>3560</v>
      </c>
      <c r="Q23" s="71" t="s">
        <v>3608</v>
      </c>
      <c r="R23" s="71" t="s">
        <v>3609</v>
      </c>
      <c r="S23" s="72"/>
      <c r="T23" s="72"/>
      <c r="U23" s="72"/>
      <c r="V23" s="72"/>
      <c r="W23" s="72"/>
      <c r="X23" s="72"/>
      <c r="Y23" s="72"/>
      <c r="Z23" s="72"/>
      <c r="AA23" s="72"/>
      <c r="AB23" s="72"/>
      <c r="AC23" s="72"/>
      <c r="AD23" s="72"/>
    </row>
    <row r="24" spans="1:30" x14ac:dyDescent="0.25">
      <c r="A24" s="55">
        <v>140</v>
      </c>
      <c r="B24" s="56" t="s">
        <v>117</v>
      </c>
      <c r="L24" s="65">
        <v>11131</v>
      </c>
      <c r="M24" t="s">
        <v>287</v>
      </c>
      <c r="P24" s="70" t="s">
        <v>3563</v>
      </c>
      <c r="Q24" s="71" t="s">
        <v>3610</v>
      </c>
      <c r="R24" s="71" t="s">
        <v>3611</v>
      </c>
      <c r="S24" s="71" t="s">
        <v>3612</v>
      </c>
      <c r="T24" s="71" t="s">
        <v>3613</v>
      </c>
      <c r="U24" s="71" t="s">
        <v>3614</v>
      </c>
      <c r="V24" s="71" t="s">
        <v>3615</v>
      </c>
      <c r="W24" s="71" t="s">
        <v>3616</v>
      </c>
      <c r="X24" s="71" t="s">
        <v>3617</v>
      </c>
      <c r="Y24" s="71" t="s">
        <v>3618</v>
      </c>
      <c r="Z24" s="71" t="s">
        <v>3619</v>
      </c>
      <c r="AA24" s="71" t="s">
        <v>3620</v>
      </c>
      <c r="AB24" s="71" t="s">
        <v>3621</v>
      </c>
      <c r="AC24" s="71" t="s">
        <v>3622</v>
      </c>
      <c r="AD24" s="71" t="s">
        <v>3623</v>
      </c>
    </row>
    <row r="25" spans="1:30" x14ac:dyDescent="0.25">
      <c r="A25" s="55">
        <v>150</v>
      </c>
      <c r="B25" s="56" t="s">
        <v>118</v>
      </c>
      <c r="L25" s="65">
        <v>11132</v>
      </c>
      <c r="M25" t="s">
        <v>288</v>
      </c>
      <c r="P25" s="70" t="s">
        <v>3566</v>
      </c>
      <c r="Q25" s="71" t="s">
        <v>3624</v>
      </c>
      <c r="R25" s="71" t="s">
        <v>3625</v>
      </c>
      <c r="S25" s="71" t="s">
        <v>3626</v>
      </c>
      <c r="T25" s="71" t="s">
        <v>3627</v>
      </c>
      <c r="U25" s="71" t="s">
        <v>3628</v>
      </c>
      <c r="V25" s="72"/>
      <c r="W25" s="72"/>
      <c r="X25" s="72"/>
      <c r="Y25" s="72"/>
      <c r="Z25" s="72"/>
      <c r="AA25" s="72"/>
      <c r="AB25" s="72"/>
      <c r="AC25" s="72"/>
      <c r="AD25" s="72"/>
    </row>
    <row r="26" spans="1:30" x14ac:dyDescent="0.25">
      <c r="A26" s="55">
        <v>160</v>
      </c>
      <c r="B26" s="56" t="s">
        <v>119</v>
      </c>
      <c r="L26" s="65">
        <v>11133</v>
      </c>
      <c r="M26" t="s">
        <v>289</v>
      </c>
      <c r="P26" s="70" t="s">
        <v>3569</v>
      </c>
      <c r="Q26" s="70" t="s">
        <v>3629</v>
      </c>
      <c r="R26" s="70" t="s">
        <v>3630</v>
      </c>
      <c r="S26" s="72"/>
      <c r="T26" s="72"/>
      <c r="U26" s="72"/>
      <c r="V26" s="72"/>
      <c r="W26" s="72"/>
      <c r="X26" s="72"/>
      <c r="Y26" s="72"/>
      <c r="Z26" s="72"/>
      <c r="AA26" s="72"/>
      <c r="AB26" s="72"/>
      <c r="AC26" s="72"/>
      <c r="AD26" s="72"/>
    </row>
    <row r="27" spans="1:30" x14ac:dyDescent="0.25">
      <c r="A27" s="55">
        <v>170</v>
      </c>
      <c r="B27" s="56" t="s">
        <v>120</v>
      </c>
      <c r="L27" s="65">
        <v>11134</v>
      </c>
      <c r="M27" t="s">
        <v>290</v>
      </c>
      <c r="P27" s="70" t="s">
        <v>3572</v>
      </c>
      <c r="Q27" s="71" t="s">
        <v>3631</v>
      </c>
      <c r="R27" s="71" t="s">
        <v>3632</v>
      </c>
      <c r="S27" s="72"/>
      <c r="T27" s="72"/>
      <c r="U27" s="72"/>
      <c r="V27" s="72"/>
      <c r="W27" s="72"/>
      <c r="X27" s="72"/>
      <c r="Y27" s="72"/>
      <c r="Z27" s="72"/>
      <c r="AA27" s="72"/>
      <c r="AB27" s="72"/>
      <c r="AC27" s="72"/>
      <c r="AD27" s="72"/>
    </row>
    <row r="28" spans="1:30" x14ac:dyDescent="0.25">
      <c r="A28" s="55">
        <v>180</v>
      </c>
      <c r="B28" s="56" t="s">
        <v>121</v>
      </c>
      <c r="L28" s="65">
        <v>11135</v>
      </c>
      <c r="M28" t="s">
        <v>291</v>
      </c>
      <c r="P28" s="70" t="s">
        <v>3575</v>
      </c>
      <c r="Q28" s="73" t="s">
        <v>3633</v>
      </c>
      <c r="R28" s="73" t="s">
        <v>3634</v>
      </c>
      <c r="S28" s="73" t="s">
        <v>3635</v>
      </c>
      <c r="T28" s="73" t="s">
        <v>3636</v>
      </c>
      <c r="U28" s="72"/>
      <c r="V28" s="72"/>
      <c r="W28" s="72"/>
      <c r="X28" s="72"/>
      <c r="Y28" s="72"/>
      <c r="Z28" s="72"/>
      <c r="AA28" s="72"/>
      <c r="AB28" s="72"/>
      <c r="AC28" s="72"/>
      <c r="AD28" s="72"/>
    </row>
    <row r="29" spans="1:30" x14ac:dyDescent="0.25">
      <c r="A29" s="52">
        <v>200</v>
      </c>
      <c r="B29" s="53" t="s">
        <v>122</v>
      </c>
      <c r="L29" s="65">
        <v>11136</v>
      </c>
      <c r="M29" t="s">
        <v>292</v>
      </c>
      <c r="P29" s="70" t="s">
        <v>3578</v>
      </c>
      <c r="Q29" s="73" t="s">
        <v>3637</v>
      </c>
      <c r="R29" s="73" t="s">
        <v>3638</v>
      </c>
      <c r="S29" s="72"/>
      <c r="T29" s="72"/>
      <c r="U29" s="72"/>
      <c r="V29" s="72"/>
      <c r="W29" s="72"/>
      <c r="X29" s="72"/>
      <c r="Y29" s="72"/>
      <c r="Z29" s="72"/>
      <c r="AA29" s="72"/>
      <c r="AB29" s="72"/>
      <c r="AC29" s="72"/>
      <c r="AD29" s="72"/>
    </row>
    <row r="30" spans="1:30" x14ac:dyDescent="0.25">
      <c r="A30" s="55">
        <v>210</v>
      </c>
      <c r="B30" s="56" t="s">
        <v>123</v>
      </c>
      <c r="L30" s="65">
        <v>11137</v>
      </c>
      <c r="M30" t="s">
        <v>293</v>
      </c>
      <c r="P30" s="70" t="s">
        <v>3581</v>
      </c>
      <c r="Q30" s="73" t="s">
        <v>3639</v>
      </c>
      <c r="R30" s="72"/>
      <c r="S30" s="72"/>
      <c r="T30" s="72"/>
      <c r="U30" s="72"/>
      <c r="V30" s="72"/>
      <c r="W30" s="72"/>
      <c r="X30" s="72"/>
      <c r="Y30" s="72"/>
      <c r="Z30" s="72"/>
      <c r="AA30" s="72"/>
      <c r="AB30" s="72"/>
      <c r="AC30" s="72"/>
      <c r="AD30" s="72"/>
    </row>
    <row r="31" spans="1:30" x14ac:dyDescent="0.25">
      <c r="A31" s="55">
        <v>220</v>
      </c>
      <c r="B31" s="56" t="s">
        <v>124</v>
      </c>
      <c r="L31" s="65">
        <v>11138</v>
      </c>
      <c r="M31" t="s">
        <v>294</v>
      </c>
      <c r="P31" s="70" t="s">
        <v>3584</v>
      </c>
      <c r="Q31" s="73" t="s">
        <v>3640</v>
      </c>
      <c r="R31" s="72"/>
      <c r="S31" s="72"/>
      <c r="T31" s="72"/>
      <c r="U31" s="72"/>
      <c r="V31" s="72"/>
      <c r="W31" s="72"/>
      <c r="X31" s="72"/>
      <c r="Y31" s="72"/>
      <c r="Z31" s="72"/>
      <c r="AA31" s="72"/>
      <c r="AB31" s="72"/>
      <c r="AC31" s="72"/>
      <c r="AD31" s="72"/>
    </row>
    <row r="32" spans="1:30" x14ac:dyDescent="0.25">
      <c r="A32" s="55">
        <v>230</v>
      </c>
      <c r="B32" s="56" t="s">
        <v>125</v>
      </c>
      <c r="L32" s="65">
        <v>11139</v>
      </c>
      <c r="M32" t="s">
        <v>295</v>
      </c>
      <c r="P32" s="70" t="s">
        <v>3587</v>
      </c>
      <c r="Q32" s="73" t="s">
        <v>3641</v>
      </c>
      <c r="R32" s="72"/>
      <c r="S32" s="72"/>
      <c r="T32" s="72"/>
      <c r="U32" s="72"/>
      <c r="V32" s="72"/>
      <c r="W32" s="72"/>
      <c r="X32" s="72"/>
      <c r="Y32" s="72"/>
      <c r="Z32" s="72"/>
      <c r="AA32" s="72"/>
      <c r="AB32" s="72"/>
      <c r="AC32" s="72"/>
      <c r="AD32" s="72"/>
    </row>
    <row r="33" spans="1:30" x14ac:dyDescent="0.25">
      <c r="A33" s="55">
        <v>240</v>
      </c>
      <c r="B33" s="56" t="s">
        <v>126</v>
      </c>
      <c r="L33" s="65">
        <v>11140</v>
      </c>
      <c r="M33" t="s">
        <v>296</v>
      </c>
      <c r="P33" s="70" t="s">
        <v>3590</v>
      </c>
      <c r="Q33" s="73" t="s">
        <v>3642</v>
      </c>
      <c r="R33" s="73" t="s">
        <v>3643</v>
      </c>
      <c r="S33" s="73" t="s">
        <v>3644</v>
      </c>
      <c r="T33" s="73" t="s">
        <v>3645</v>
      </c>
      <c r="U33" s="73" t="s">
        <v>3646</v>
      </c>
      <c r="V33" s="73" t="s">
        <v>3647</v>
      </c>
      <c r="W33" s="72"/>
      <c r="X33" s="72"/>
      <c r="Y33" s="72"/>
      <c r="Z33" s="72"/>
      <c r="AA33" s="72"/>
      <c r="AB33" s="72"/>
      <c r="AC33" s="72"/>
      <c r="AD33" s="72"/>
    </row>
    <row r="34" spans="1:30" x14ac:dyDescent="0.25">
      <c r="A34" s="55">
        <v>250</v>
      </c>
      <c r="B34" s="56" t="s">
        <v>127</v>
      </c>
      <c r="L34" s="65">
        <v>11141</v>
      </c>
      <c r="M34" t="s">
        <v>297</v>
      </c>
      <c r="P34" s="70" t="s">
        <v>3593</v>
      </c>
      <c r="Q34" s="73" t="s">
        <v>3648</v>
      </c>
      <c r="R34" s="72"/>
      <c r="S34" s="72"/>
      <c r="T34" s="72"/>
      <c r="U34" s="72"/>
      <c r="V34" s="72"/>
      <c r="W34" s="72"/>
      <c r="X34" s="72"/>
      <c r="Y34" s="72"/>
      <c r="Z34" s="72"/>
      <c r="AA34" s="72"/>
      <c r="AB34" s="72"/>
      <c r="AC34" s="72"/>
      <c r="AD34" s="72"/>
    </row>
    <row r="35" spans="1:30" x14ac:dyDescent="0.25">
      <c r="A35" s="52">
        <v>300</v>
      </c>
      <c r="B35" s="53" t="s">
        <v>128</v>
      </c>
      <c r="L35" s="65">
        <v>11142</v>
      </c>
      <c r="M35" t="s">
        <v>298</v>
      </c>
      <c r="P35" s="70" t="s">
        <v>3596</v>
      </c>
      <c r="Q35" s="71" t="s">
        <v>3649</v>
      </c>
      <c r="R35" s="71" t="s">
        <v>3650</v>
      </c>
      <c r="S35" s="72"/>
      <c r="T35" s="72"/>
      <c r="U35" s="72"/>
      <c r="V35" s="72"/>
      <c r="W35" s="72"/>
      <c r="X35" s="72"/>
      <c r="Y35" s="72"/>
      <c r="Z35" s="72"/>
      <c r="AA35" s="72"/>
      <c r="AB35" s="72"/>
      <c r="AC35" s="72"/>
      <c r="AD35" s="72"/>
    </row>
    <row r="36" spans="1:30" x14ac:dyDescent="0.25">
      <c r="A36" s="55">
        <v>310</v>
      </c>
      <c r="B36" s="56" t="s">
        <v>129</v>
      </c>
      <c r="L36" s="65">
        <v>11143</v>
      </c>
      <c r="M36" t="s">
        <v>299</v>
      </c>
      <c r="P36" s="70" t="s">
        <v>3599</v>
      </c>
      <c r="Q36" s="71" t="s">
        <v>3651</v>
      </c>
      <c r="R36" s="71" t="s">
        <v>3652</v>
      </c>
      <c r="S36" s="71" t="s">
        <v>3653</v>
      </c>
      <c r="T36" s="72"/>
      <c r="U36" s="72"/>
      <c r="V36" s="72"/>
      <c r="W36" s="72"/>
      <c r="X36" s="72"/>
      <c r="Y36" s="72"/>
      <c r="Z36" s="72"/>
      <c r="AA36" s="72"/>
      <c r="AB36" s="72"/>
      <c r="AC36" s="72"/>
      <c r="AD36" s="72"/>
    </row>
    <row r="37" spans="1:30" x14ac:dyDescent="0.25">
      <c r="A37" s="55">
        <v>320</v>
      </c>
      <c r="B37" s="56" t="s">
        <v>130</v>
      </c>
      <c r="L37" s="65">
        <v>11145</v>
      </c>
      <c r="M37" t="s">
        <v>300</v>
      </c>
      <c r="P37" s="70" t="s">
        <v>3602</v>
      </c>
      <c r="Q37" s="71" t="s">
        <v>3654</v>
      </c>
      <c r="R37" s="71" t="s">
        <v>3655</v>
      </c>
      <c r="S37" s="71" t="s">
        <v>3656</v>
      </c>
      <c r="T37" s="71" t="s">
        <v>3657</v>
      </c>
      <c r="U37" s="71" t="s">
        <v>3658</v>
      </c>
      <c r="V37" s="71" t="s">
        <v>3659</v>
      </c>
      <c r="W37" s="71" t="s">
        <v>3660</v>
      </c>
      <c r="X37" s="71" t="s">
        <v>3661</v>
      </c>
      <c r="Y37" s="71" t="s">
        <v>3662</v>
      </c>
      <c r="Z37" s="71" t="s">
        <v>3663</v>
      </c>
      <c r="AA37" s="72"/>
      <c r="AB37" s="72"/>
      <c r="AC37" s="72"/>
      <c r="AD37" s="72"/>
    </row>
    <row r="38" spans="1:30" x14ac:dyDescent="0.25">
      <c r="A38" s="55">
        <v>330</v>
      </c>
      <c r="B38" s="56" t="s">
        <v>131</v>
      </c>
      <c r="L38" s="65">
        <v>11146</v>
      </c>
      <c r="M38" t="s">
        <v>301</v>
      </c>
    </row>
    <row r="39" spans="1:30" x14ac:dyDescent="0.25">
      <c r="A39" s="55">
        <v>350</v>
      </c>
      <c r="B39" s="56" t="s">
        <v>132</v>
      </c>
      <c r="L39" s="65">
        <v>11147</v>
      </c>
      <c r="M39" t="s">
        <v>302</v>
      </c>
    </row>
    <row r="40" spans="1:30" x14ac:dyDescent="0.25">
      <c r="A40" s="55">
        <v>360</v>
      </c>
      <c r="B40" s="56" t="s">
        <v>133</v>
      </c>
      <c r="L40" s="65">
        <v>11148</v>
      </c>
      <c r="M40" t="s">
        <v>303</v>
      </c>
    </row>
    <row r="41" spans="1:30" x14ac:dyDescent="0.25">
      <c r="A41" s="52">
        <v>400</v>
      </c>
      <c r="B41" s="53" t="s">
        <v>134</v>
      </c>
      <c r="L41" s="65">
        <v>11149</v>
      </c>
      <c r="M41" t="s">
        <v>304</v>
      </c>
    </row>
    <row r="42" spans="1:30" x14ac:dyDescent="0.25">
      <c r="A42" s="55">
        <v>410</v>
      </c>
      <c r="B42" s="56" t="s">
        <v>135</v>
      </c>
      <c r="L42" s="65">
        <v>11150</v>
      </c>
      <c r="M42" t="s">
        <v>305</v>
      </c>
    </row>
    <row r="43" spans="1:30" x14ac:dyDescent="0.25">
      <c r="A43" s="58">
        <v>411</v>
      </c>
      <c r="B43" s="59" t="s">
        <v>136</v>
      </c>
      <c r="L43" s="65">
        <v>11151</v>
      </c>
      <c r="M43" t="s">
        <v>306</v>
      </c>
    </row>
    <row r="44" spans="1:30" x14ac:dyDescent="0.25">
      <c r="A44" s="58">
        <v>412</v>
      </c>
      <c r="B44" s="59" t="s">
        <v>137</v>
      </c>
      <c r="L44" s="65">
        <v>11152</v>
      </c>
      <c r="M44" t="s">
        <v>307</v>
      </c>
    </row>
    <row r="45" spans="1:30" x14ac:dyDescent="0.25">
      <c r="A45" s="55">
        <v>420</v>
      </c>
      <c r="B45" s="56" t="s">
        <v>138</v>
      </c>
      <c r="L45" s="65">
        <v>11153</v>
      </c>
      <c r="M45" t="s">
        <v>308</v>
      </c>
    </row>
    <row r="46" spans="1:30" x14ac:dyDescent="0.25">
      <c r="A46" s="58">
        <v>421</v>
      </c>
      <c r="B46" s="59" t="s">
        <v>139</v>
      </c>
      <c r="L46" s="65">
        <v>11154</v>
      </c>
      <c r="M46" t="s">
        <v>309</v>
      </c>
    </row>
    <row r="47" spans="1:30" x14ac:dyDescent="0.25">
      <c r="A47" s="58">
        <v>422</v>
      </c>
      <c r="B47" s="59" t="s">
        <v>140</v>
      </c>
      <c r="L47" s="65">
        <v>11155</v>
      </c>
      <c r="M47" t="s">
        <v>310</v>
      </c>
    </row>
    <row r="48" spans="1:30" x14ac:dyDescent="0.25">
      <c r="A48" s="58">
        <v>423</v>
      </c>
      <c r="B48" s="59" t="s">
        <v>141</v>
      </c>
      <c r="L48" s="65">
        <v>11156</v>
      </c>
      <c r="M48" t="s">
        <v>311</v>
      </c>
    </row>
    <row r="49" spans="1:13" x14ac:dyDescent="0.25">
      <c r="A49" s="55">
        <v>430</v>
      </c>
      <c r="B49" s="56" t="s">
        <v>142</v>
      </c>
      <c r="L49" s="65">
        <v>11157</v>
      </c>
      <c r="M49" t="s">
        <v>312</v>
      </c>
    </row>
    <row r="50" spans="1:13" x14ac:dyDescent="0.25">
      <c r="A50" s="58">
        <v>431</v>
      </c>
      <c r="B50" s="59" t="s">
        <v>143</v>
      </c>
      <c r="L50" s="65">
        <v>11158</v>
      </c>
      <c r="M50" t="s">
        <v>313</v>
      </c>
    </row>
    <row r="51" spans="1:13" x14ac:dyDescent="0.25">
      <c r="A51" s="58">
        <v>432</v>
      </c>
      <c r="B51" s="59" t="s">
        <v>144</v>
      </c>
      <c r="L51" s="65">
        <v>11159</v>
      </c>
      <c r="M51" t="s">
        <v>314</v>
      </c>
    </row>
    <row r="52" spans="1:13" x14ac:dyDescent="0.25">
      <c r="A52" s="58">
        <v>433</v>
      </c>
      <c r="B52" s="59" t="s">
        <v>145</v>
      </c>
      <c r="L52" s="65">
        <v>11190</v>
      </c>
      <c r="M52" t="s">
        <v>315</v>
      </c>
    </row>
    <row r="53" spans="1:13" x14ac:dyDescent="0.25">
      <c r="A53" s="58">
        <v>434</v>
      </c>
      <c r="B53" s="59" t="s">
        <v>146</v>
      </c>
      <c r="L53" s="65">
        <v>11191</v>
      </c>
      <c r="M53" t="s">
        <v>316</v>
      </c>
    </row>
    <row r="54" spans="1:13" x14ac:dyDescent="0.25">
      <c r="A54" s="58">
        <v>435</v>
      </c>
      <c r="B54" s="59" t="s">
        <v>147</v>
      </c>
      <c r="L54" s="65">
        <v>11192</v>
      </c>
      <c r="M54" t="s">
        <v>317</v>
      </c>
    </row>
    <row r="55" spans="1:13" x14ac:dyDescent="0.25">
      <c r="A55" s="58">
        <v>436</v>
      </c>
      <c r="B55" s="59" t="s">
        <v>148</v>
      </c>
      <c r="L55" s="65">
        <v>11193</v>
      </c>
      <c r="M55" t="s">
        <v>318</v>
      </c>
    </row>
    <row r="56" spans="1:13" x14ac:dyDescent="0.25">
      <c r="A56" s="55">
        <v>440</v>
      </c>
      <c r="B56" s="56" t="s">
        <v>149</v>
      </c>
      <c r="L56" s="65">
        <v>11194</v>
      </c>
      <c r="M56" t="s">
        <v>319</v>
      </c>
    </row>
    <row r="57" spans="1:13" x14ac:dyDescent="0.25">
      <c r="A57" s="58">
        <v>441</v>
      </c>
      <c r="B57" s="59" t="s">
        <v>150</v>
      </c>
      <c r="L57" s="65">
        <v>11195</v>
      </c>
      <c r="M57" t="s">
        <v>320</v>
      </c>
    </row>
    <row r="58" spans="1:13" x14ac:dyDescent="0.25">
      <c r="A58" s="58">
        <v>442</v>
      </c>
      <c r="B58" s="59" t="s">
        <v>151</v>
      </c>
      <c r="L58" s="65">
        <v>11196</v>
      </c>
      <c r="M58" t="s">
        <v>321</v>
      </c>
    </row>
    <row r="59" spans="1:13" x14ac:dyDescent="0.25">
      <c r="A59" s="58">
        <v>443</v>
      </c>
      <c r="B59" s="59" t="s">
        <v>152</v>
      </c>
      <c r="L59" s="65">
        <v>11197</v>
      </c>
      <c r="M59" t="s">
        <v>322</v>
      </c>
    </row>
    <row r="60" spans="1:13" x14ac:dyDescent="0.25">
      <c r="A60" s="55">
        <v>450</v>
      </c>
      <c r="B60" s="56" t="s">
        <v>153</v>
      </c>
      <c r="L60" s="65">
        <v>11198</v>
      </c>
      <c r="M60" t="s">
        <v>323</v>
      </c>
    </row>
    <row r="61" spans="1:13" x14ac:dyDescent="0.25">
      <c r="A61" s="58">
        <v>451</v>
      </c>
      <c r="B61" s="59" t="s">
        <v>154</v>
      </c>
      <c r="L61" s="65">
        <v>11199</v>
      </c>
      <c r="M61" t="s">
        <v>324</v>
      </c>
    </row>
    <row r="62" spans="1:13" x14ac:dyDescent="0.25">
      <c r="A62" s="58">
        <v>452</v>
      </c>
      <c r="B62" s="59" t="s">
        <v>155</v>
      </c>
      <c r="L62" s="65">
        <v>11200</v>
      </c>
      <c r="M62" t="s">
        <v>325</v>
      </c>
    </row>
    <row r="63" spans="1:13" x14ac:dyDescent="0.25">
      <c r="A63" s="58">
        <v>453</v>
      </c>
      <c r="B63" s="59" t="s">
        <v>156</v>
      </c>
      <c r="L63" s="65">
        <v>11210</v>
      </c>
      <c r="M63" t="s">
        <v>326</v>
      </c>
    </row>
    <row r="64" spans="1:13" x14ac:dyDescent="0.25">
      <c r="A64" s="58">
        <v>454</v>
      </c>
      <c r="B64" s="59" t="s">
        <v>157</v>
      </c>
      <c r="L64" s="65">
        <v>11211</v>
      </c>
      <c r="M64" t="s">
        <v>327</v>
      </c>
    </row>
    <row r="65" spans="1:13" x14ac:dyDescent="0.25">
      <c r="A65" s="58">
        <v>455</v>
      </c>
      <c r="B65" s="59" t="s">
        <v>158</v>
      </c>
      <c r="L65" s="65">
        <v>11212</v>
      </c>
      <c r="M65" t="s">
        <v>328</v>
      </c>
    </row>
    <row r="66" spans="1:13" x14ac:dyDescent="0.25">
      <c r="A66" s="55">
        <v>460</v>
      </c>
      <c r="B66" s="56" t="s">
        <v>159</v>
      </c>
      <c r="L66" s="65">
        <v>11213</v>
      </c>
      <c r="M66" t="s">
        <v>329</v>
      </c>
    </row>
    <row r="67" spans="1:13" x14ac:dyDescent="0.25">
      <c r="A67" s="55">
        <v>470</v>
      </c>
      <c r="B67" s="56" t="s">
        <v>160</v>
      </c>
      <c r="L67" s="65">
        <v>11215</v>
      </c>
      <c r="M67" t="s">
        <v>330</v>
      </c>
    </row>
    <row r="68" spans="1:13" x14ac:dyDescent="0.25">
      <c r="A68" s="58">
        <v>471</v>
      </c>
      <c r="B68" s="59" t="s">
        <v>161</v>
      </c>
      <c r="L68" s="65">
        <v>11216</v>
      </c>
      <c r="M68" t="s">
        <v>331</v>
      </c>
    </row>
    <row r="69" spans="1:13" x14ac:dyDescent="0.25">
      <c r="A69" s="58">
        <v>472</v>
      </c>
      <c r="B69" s="59" t="s">
        <v>162</v>
      </c>
      <c r="L69" s="65">
        <v>11217</v>
      </c>
      <c r="M69" t="s">
        <v>332</v>
      </c>
    </row>
    <row r="70" spans="1:13" x14ac:dyDescent="0.25">
      <c r="A70" s="58">
        <v>473</v>
      </c>
      <c r="B70" s="59" t="s">
        <v>163</v>
      </c>
      <c r="L70" s="65">
        <v>11218</v>
      </c>
      <c r="M70" t="s">
        <v>333</v>
      </c>
    </row>
    <row r="71" spans="1:13" x14ac:dyDescent="0.25">
      <c r="A71" s="58">
        <v>474</v>
      </c>
      <c r="B71" s="59" t="s">
        <v>164</v>
      </c>
      <c r="L71" s="65">
        <v>11219</v>
      </c>
      <c r="M71" t="s">
        <v>334</v>
      </c>
    </row>
    <row r="72" spans="1:13" x14ac:dyDescent="0.25">
      <c r="A72" s="55">
        <v>480</v>
      </c>
      <c r="B72" s="56" t="s">
        <v>165</v>
      </c>
      <c r="L72" s="65">
        <v>11220</v>
      </c>
      <c r="M72" t="s">
        <v>335</v>
      </c>
    </row>
    <row r="73" spans="1:13" x14ac:dyDescent="0.25">
      <c r="A73" s="58">
        <v>481</v>
      </c>
      <c r="B73" s="59" t="s">
        <v>166</v>
      </c>
      <c r="L73" s="65">
        <v>11221</v>
      </c>
      <c r="M73" t="s">
        <v>336</v>
      </c>
    </row>
    <row r="74" spans="1:13" x14ac:dyDescent="0.25">
      <c r="A74" s="58">
        <v>482</v>
      </c>
      <c r="B74" s="59" t="s">
        <v>167</v>
      </c>
      <c r="L74" s="65">
        <v>11222</v>
      </c>
      <c r="M74" t="s">
        <v>337</v>
      </c>
    </row>
    <row r="75" spans="1:13" x14ac:dyDescent="0.25">
      <c r="A75" s="58">
        <v>483</v>
      </c>
      <c r="B75" s="59" t="s">
        <v>168</v>
      </c>
      <c r="L75" s="65">
        <v>11223</v>
      </c>
      <c r="M75" t="s">
        <v>338</v>
      </c>
    </row>
    <row r="76" spans="1:13" x14ac:dyDescent="0.25">
      <c r="A76" s="58">
        <v>484</v>
      </c>
      <c r="B76" s="59" t="s">
        <v>169</v>
      </c>
      <c r="L76" s="65">
        <v>11224</v>
      </c>
      <c r="M76" t="s">
        <v>339</v>
      </c>
    </row>
    <row r="77" spans="1:13" x14ac:dyDescent="0.25">
      <c r="A77" s="58">
        <v>485</v>
      </c>
      <c r="B77" s="59" t="s">
        <v>170</v>
      </c>
      <c r="L77" s="65">
        <v>11225</v>
      </c>
      <c r="M77" t="s">
        <v>340</v>
      </c>
    </row>
    <row r="78" spans="1:13" x14ac:dyDescent="0.25">
      <c r="A78" s="58">
        <v>486</v>
      </c>
      <c r="B78" s="59" t="s">
        <v>171</v>
      </c>
      <c r="L78" s="65">
        <v>11226</v>
      </c>
      <c r="M78" t="s">
        <v>341</v>
      </c>
    </row>
    <row r="79" spans="1:13" x14ac:dyDescent="0.25">
      <c r="A79" s="58">
        <v>487</v>
      </c>
      <c r="B79" s="59" t="s">
        <v>172</v>
      </c>
      <c r="L79" s="65">
        <v>11227</v>
      </c>
      <c r="M79" t="s">
        <v>342</v>
      </c>
    </row>
    <row r="80" spans="1:13" x14ac:dyDescent="0.25">
      <c r="A80" s="55">
        <v>490</v>
      </c>
      <c r="B80" s="56" t="s">
        <v>173</v>
      </c>
      <c r="L80" s="65">
        <v>11228</v>
      </c>
      <c r="M80" t="s">
        <v>343</v>
      </c>
    </row>
    <row r="81" spans="1:13" x14ac:dyDescent="0.25">
      <c r="A81" s="52">
        <v>500</v>
      </c>
      <c r="B81" s="53" t="s">
        <v>174</v>
      </c>
      <c r="L81" s="65">
        <v>11229</v>
      </c>
      <c r="M81" t="s">
        <v>344</v>
      </c>
    </row>
    <row r="82" spans="1:13" x14ac:dyDescent="0.25">
      <c r="A82" s="55">
        <v>510</v>
      </c>
      <c r="B82" s="56" t="s">
        <v>175</v>
      </c>
      <c r="L82" s="65">
        <v>11230</v>
      </c>
      <c r="M82" t="s">
        <v>345</v>
      </c>
    </row>
    <row r="83" spans="1:13" x14ac:dyDescent="0.25">
      <c r="A83" s="55">
        <v>520</v>
      </c>
      <c r="B83" s="56" t="s">
        <v>176</v>
      </c>
      <c r="L83" s="65">
        <v>11231</v>
      </c>
      <c r="M83" t="s">
        <v>345</v>
      </c>
    </row>
    <row r="84" spans="1:13" x14ac:dyDescent="0.25">
      <c r="A84" s="55">
        <v>530</v>
      </c>
      <c r="B84" s="56" t="s">
        <v>177</v>
      </c>
      <c r="L84" s="65">
        <v>11236</v>
      </c>
      <c r="M84" t="s">
        <v>346</v>
      </c>
    </row>
    <row r="85" spans="1:13" x14ac:dyDescent="0.25">
      <c r="A85" s="55">
        <v>540</v>
      </c>
      <c r="B85" s="56" t="s">
        <v>178</v>
      </c>
      <c r="L85" s="65">
        <v>11237</v>
      </c>
      <c r="M85" t="s">
        <v>347</v>
      </c>
    </row>
    <row r="86" spans="1:13" x14ac:dyDescent="0.25">
      <c r="A86" s="55">
        <v>550</v>
      </c>
      <c r="B86" s="56" t="s">
        <v>179</v>
      </c>
      <c r="L86" s="65">
        <v>11238</v>
      </c>
      <c r="M86" t="s">
        <v>348</v>
      </c>
    </row>
    <row r="87" spans="1:13" x14ac:dyDescent="0.25">
      <c r="A87" s="55">
        <v>560</v>
      </c>
      <c r="B87" s="56" t="s">
        <v>180</v>
      </c>
      <c r="L87" s="65">
        <v>11239</v>
      </c>
      <c r="M87" t="s">
        <v>349</v>
      </c>
    </row>
    <row r="88" spans="1:13" x14ac:dyDescent="0.25">
      <c r="A88" s="52">
        <v>600</v>
      </c>
      <c r="B88" s="53" t="s">
        <v>181</v>
      </c>
      <c r="L88" s="65">
        <v>11240</v>
      </c>
      <c r="M88" t="s">
        <v>350</v>
      </c>
    </row>
    <row r="89" spans="1:13" x14ac:dyDescent="0.25">
      <c r="A89" s="55">
        <v>610</v>
      </c>
      <c r="B89" s="56" t="s">
        <v>182</v>
      </c>
      <c r="L89" s="65">
        <v>11241</v>
      </c>
      <c r="M89" t="s">
        <v>350</v>
      </c>
    </row>
    <row r="90" spans="1:13" x14ac:dyDescent="0.25">
      <c r="A90" s="55">
        <v>620</v>
      </c>
      <c r="B90" s="56" t="s">
        <v>183</v>
      </c>
      <c r="L90" s="65">
        <v>11246</v>
      </c>
      <c r="M90" t="s">
        <v>351</v>
      </c>
    </row>
    <row r="91" spans="1:13" x14ac:dyDescent="0.25">
      <c r="A91" s="55">
        <v>630</v>
      </c>
      <c r="B91" s="56" t="s">
        <v>184</v>
      </c>
      <c r="L91" s="65">
        <v>11247</v>
      </c>
      <c r="M91" t="s">
        <v>352</v>
      </c>
    </row>
    <row r="92" spans="1:13" x14ac:dyDescent="0.25">
      <c r="A92" s="55">
        <v>640</v>
      </c>
      <c r="B92" s="56" t="s">
        <v>185</v>
      </c>
      <c r="L92" s="65">
        <v>11248</v>
      </c>
      <c r="M92" t="s">
        <v>353</v>
      </c>
    </row>
    <row r="93" spans="1:13" x14ac:dyDescent="0.25">
      <c r="A93" s="55">
        <v>650</v>
      </c>
      <c r="B93" s="56" t="s">
        <v>186</v>
      </c>
      <c r="L93" s="65">
        <v>11249</v>
      </c>
      <c r="M93" t="s">
        <v>354</v>
      </c>
    </row>
    <row r="94" spans="1:13" x14ac:dyDescent="0.25">
      <c r="A94" s="55">
        <v>660</v>
      </c>
      <c r="B94" s="56" t="s">
        <v>187</v>
      </c>
      <c r="L94" s="65">
        <v>11250</v>
      </c>
      <c r="M94" t="s">
        <v>355</v>
      </c>
    </row>
    <row r="95" spans="1:13" x14ac:dyDescent="0.25">
      <c r="A95" s="52">
        <v>700</v>
      </c>
      <c r="B95" s="53" t="s">
        <v>188</v>
      </c>
      <c r="L95" s="65">
        <v>11251</v>
      </c>
      <c r="M95" t="s">
        <v>356</v>
      </c>
    </row>
    <row r="96" spans="1:13" x14ac:dyDescent="0.25">
      <c r="A96" s="55">
        <v>710</v>
      </c>
      <c r="B96" s="56" t="s">
        <v>189</v>
      </c>
      <c r="L96" s="65">
        <v>11252</v>
      </c>
      <c r="M96" t="s">
        <v>357</v>
      </c>
    </row>
    <row r="97" spans="1:13" x14ac:dyDescent="0.25">
      <c r="A97" s="58">
        <v>711</v>
      </c>
      <c r="B97" s="59" t="s">
        <v>190</v>
      </c>
      <c r="L97" s="65">
        <v>11253</v>
      </c>
      <c r="M97" t="s">
        <v>358</v>
      </c>
    </row>
    <row r="98" spans="1:13" x14ac:dyDescent="0.25">
      <c r="A98" s="58">
        <v>712</v>
      </c>
      <c r="B98" s="59" t="s">
        <v>191</v>
      </c>
      <c r="L98" s="65">
        <v>11255</v>
      </c>
      <c r="M98" t="s">
        <v>359</v>
      </c>
    </row>
    <row r="99" spans="1:13" x14ac:dyDescent="0.25">
      <c r="A99" s="58">
        <v>713</v>
      </c>
      <c r="B99" s="59" t="s">
        <v>192</v>
      </c>
      <c r="L99" s="65">
        <v>11256</v>
      </c>
      <c r="M99" t="s">
        <v>360</v>
      </c>
    </row>
    <row r="100" spans="1:13" x14ac:dyDescent="0.25">
      <c r="A100" s="55">
        <v>720</v>
      </c>
      <c r="B100" s="56" t="s">
        <v>193</v>
      </c>
      <c r="L100" s="65">
        <v>11257</v>
      </c>
      <c r="M100" t="s">
        <v>361</v>
      </c>
    </row>
    <row r="101" spans="1:13" x14ac:dyDescent="0.25">
      <c r="A101" s="58">
        <v>721</v>
      </c>
      <c r="B101" s="59" t="s">
        <v>194</v>
      </c>
      <c r="L101" s="65">
        <v>11258</v>
      </c>
      <c r="M101" t="s">
        <v>362</v>
      </c>
    </row>
    <row r="102" spans="1:13" x14ac:dyDescent="0.25">
      <c r="A102" s="58">
        <v>722</v>
      </c>
      <c r="B102" s="59" t="s">
        <v>195</v>
      </c>
      <c r="L102" s="65">
        <v>11259</v>
      </c>
      <c r="M102" t="s">
        <v>363</v>
      </c>
    </row>
    <row r="103" spans="1:13" x14ac:dyDescent="0.25">
      <c r="A103" s="58">
        <v>723</v>
      </c>
      <c r="B103" s="59" t="s">
        <v>196</v>
      </c>
      <c r="L103" s="65">
        <v>11260</v>
      </c>
      <c r="M103" t="s">
        <v>364</v>
      </c>
    </row>
    <row r="104" spans="1:13" x14ac:dyDescent="0.25">
      <c r="A104" s="58">
        <v>724</v>
      </c>
      <c r="B104" s="59" t="s">
        <v>197</v>
      </c>
      <c r="L104" s="65">
        <v>11261</v>
      </c>
      <c r="M104" t="s">
        <v>365</v>
      </c>
    </row>
    <row r="105" spans="1:13" x14ac:dyDescent="0.25">
      <c r="A105" s="55">
        <v>730</v>
      </c>
      <c r="B105" s="56" t="s">
        <v>198</v>
      </c>
      <c r="L105" s="65">
        <v>11262</v>
      </c>
      <c r="M105" t="s">
        <v>366</v>
      </c>
    </row>
    <row r="106" spans="1:13" x14ac:dyDescent="0.25">
      <c r="A106" s="58">
        <v>731</v>
      </c>
      <c r="B106" s="59" t="s">
        <v>199</v>
      </c>
      <c r="L106" s="65">
        <v>11263</v>
      </c>
      <c r="M106" t="s">
        <v>367</v>
      </c>
    </row>
    <row r="107" spans="1:13" x14ac:dyDescent="0.25">
      <c r="A107" s="58">
        <v>732</v>
      </c>
      <c r="B107" s="59" t="s">
        <v>200</v>
      </c>
      <c r="L107" s="65">
        <v>11264</v>
      </c>
      <c r="M107" t="s">
        <v>368</v>
      </c>
    </row>
    <row r="108" spans="1:13" x14ac:dyDescent="0.25">
      <c r="A108" s="58">
        <v>733</v>
      </c>
      <c r="B108" s="59" t="s">
        <v>201</v>
      </c>
      <c r="L108" s="65">
        <v>11266</v>
      </c>
      <c r="M108" t="s">
        <v>369</v>
      </c>
    </row>
    <row r="109" spans="1:13" x14ac:dyDescent="0.25">
      <c r="A109" s="58">
        <v>734</v>
      </c>
      <c r="B109" s="59" t="s">
        <v>202</v>
      </c>
      <c r="L109" s="65">
        <v>11267</v>
      </c>
      <c r="M109" t="s">
        <v>370</v>
      </c>
    </row>
    <row r="110" spans="1:13" x14ac:dyDescent="0.25">
      <c r="A110" s="55">
        <v>740</v>
      </c>
      <c r="B110" s="56" t="s">
        <v>203</v>
      </c>
      <c r="L110" s="65">
        <v>11268</v>
      </c>
      <c r="M110" t="s">
        <v>371</v>
      </c>
    </row>
    <row r="111" spans="1:13" x14ac:dyDescent="0.25">
      <c r="A111" s="55">
        <v>750</v>
      </c>
      <c r="B111" s="56" t="s">
        <v>204</v>
      </c>
      <c r="L111" s="65">
        <v>11269</v>
      </c>
      <c r="M111" t="s">
        <v>372</v>
      </c>
    </row>
    <row r="112" spans="1:13" x14ac:dyDescent="0.25">
      <c r="A112" s="55">
        <v>760</v>
      </c>
      <c r="B112" s="56" t="s">
        <v>205</v>
      </c>
      <c r="L112" s="65">
        <v>11270</v>
      </c>
      <c r="M112" t="s">
        <v>373</v>
      </c>
    </row>
    <row r="113" spans="1:13" x14ac:dyDescent="0.25">
      <c r="A113" s="52">
        <v>800</v>
      </c>
      <c r="B113" s="53" t="s">
        <v>206</v>
      </c>
      <c r="L113" s="65">
        <v>11271</v>
      </c>
      <c r="M113" t="s">
        <v>373</v>
      </c>
    </row>
    <row r="114" spans="1:13" x14ac:dyDescent="0.25">
      <c r="A114" s="55">
        <v>810</v>
      </c>
      <c r="B114" s="56" t="s">
        <v>207</v>
      </c>
      <c r="L114" s="65">
        <v>11276</v>
      </c>
      <c r="M114" t="s">
        <v>374</v>
      </c>
    </row>
    <row r="115" spans="1:13" x14ac:dyDescent="0.25">
      <c r="A115" s="55">
        <v>820</v>
      </c>
      <c r="B115" s="56" t="s">
        <v>208</v>
      </c>
      <c r="L115" s="65">
        <v>11277</v>
      </c>
      <c r="M115" t="s">
        <v>375</v>
      </c>
    </row>
    <row r="116" spans="1:13" x14ac:dyDescent="0.25">
      <c r="A116" s="55">
        <v>830</v>
      </c>
      <c r="B116" s="56" t="s">
        <v>209</v>
      </c>
      <c r="L116" s="65">
        <v>11278</v>
      </c>
      <c r="M116" t="s">
        <v>376</v>
      </c>
    </row>
    <row r="117" spans="1:13" x14ac:dyDescent="0.25">
      <c r="A117" s="55">
        <v>840</v>
      </c>
      <c r="B117" s="56" t="s">
        <v>210</v>
      </c>
      <c r="L117" s="65">
        <v>11279</v>
      </c>
      <c r="M117" t="s">
        <v>377</v>
      </c>
    </row>
    <row r="118" spans="1:13" x14ac:dyDescent="0.25">
      <c r="A118" s="55">
        <v>850</v>
      </c>
      <c r="B118" s="56" t="s">
        <v>211</v>
      </c>
      <c r="L118" s="65">
        <v>11280</v>
      </c>
      <c r="M118" t="s">
        <v>378</v>
      </c>
    </row>
    <row r="119" spans="1:13" x14ac:dyDescent="0.25">
      <c r="A119" s="55">
        <v>860</v>
      </c>
      <c r="B119" s="56" t="s">
        <v>212</v>
      </c>
      <c r="L119" s="65">
        <v>11281</v>
      </c>
      <c r="M119" t="s">
        <v>378</v>
      </c>
    </row>
    <row r="120" spans="1:13" x14ac:dyDescent="0.25">
      <c r="A120" s="52">
        <v>900</v>
      </c>
      <c r="B120" s="53" t="s">
        <v>213</v>
      </c>
      <c r="L120" s="65">
        <v>11286</v>
      </c>
      <c r="M120" t="s">
        <v>379</v>
      </c>
    </row>
    <row r="121" spans="1:13" x14ac:dyDescent="0.25">
      <c r="A121" s="55">
        <v>910</v>
      </c>
      <c r="B121" s="56" t="s">
        <v>214</v>
      </c>
      <c r="L121" s="65">
        <v>11287</v>
      </c>
      <c r="M121" t="s">
        <v>380</v>
      </c>
    </row>
    <row r="122" spans="1:13" x14ac:dyDescent="0.25">
      <c r="A122" s="58">
        <v>911</v>
      </c>
      <c r="B122" s="59" t="s">
        <v>215</v>
      </c>
      <c r="L122" s="65">
        <v>11288</v>
      </c>
      <c r="M122" t="s">
        <v>381</v>
      </c>
    </row>
    <row r="123" spans="1:13" x14ac:dyDescent="0.25">
      <c r="A123" s="58">
        <v>912</v>
      </c>
      <c r="B123" s="59" t="s">
        <v>216</v>
      </c>
      <c r="L123" s="65">
        <v>11289</v>
      </c>
      <c r="M123" t="s">
        <v>382</v>
      </c>
    </row>
    <row r="124" spans="1:13" x14ac:dyDescent="0.25">
      <c r="A124" s="58">
        <v>913</v>
      </c>
      <c r="B124" s="59" t="s">
        <v>217</v>
      </c>
      <c r="L124" s="65">
        <v>11290</v>
      </c>
      <c r="M124" t="s">
        <v>383</v>
      </c>
    </row>
    <row r="125" spans="1:13" x14ac:dyDescent="0.25">
      <c r="A125" s="58">
        <v>914</v>
      </c>
      <c r="B125" s="59" t="s">
        <v>218</v>
      </c>
      <c r="L125" s="65">
        <v>11291</v>
      </c>
      <c r="M125" t="s">
        <v>384</v>
      </c>
    </row>
    <row r="126" spans="1:13" x14ac:dyDescent="0.25">
      <c r="A126" s="58">
        <v>915</v>
      </c>
      <c r="B126" s="59" t="s">
        <v>219</v>
      </c>
      <c r="L126" s="65">
        <v>11292</v>
      </c>
      <c r="M126" t="s">
        <v>385</v>
      </c>
    </row>
    <row r="127" spans="1:13" x14ac:dyDescent="0.25">
      <c r="A127" s="58">
        <v>916</v>
      </c>
      <c r="B127" s="59" t="s">
        <v>220</v>
      </c>
      <c r="L127" s="65">
        <v>11293</v>
      </c>
      <c r="M127" t="s">
        <v>386</v>
      </c>
    </row>
    <row r="128" spans="1:13" x14ac:dyDescent="0.25">
      <c r="A128" s="55">
        <v>920</v>
      </c>
      <c r="B128" s="56" t="s">
        <v>221</v>
      </c>
      <c r="L128" s="65">
        <v>11294</v>
      </c>
      <c r="M128" t="s">
        <v>387</v>
      </c>
    </row>
    <row r="129" spans="1:13" x14ac:dyDescent="0.25">
      <c r="A129" s="58">
        <v>921</v>
      </c>
      <c r="B129" s="59" t="s">
        <v>222</v>
      </c>
      <c r="L129" s="65">
        <v>11296</v>
      </c>
      <c r="M129" t="s">
        <v>388</v>
      </c>
    </row>
    <row r="130" spans="1:13" x14ac:dyDescent="0.25">
      <c r="A130" s="58">
        <v>922</v>
      </c>
      <c r="B130" s="59" t="s">
        <v>223</v>
      </c>
      <c r="L130" s="65">
        <v>11297</v>
      </c>
      <c r="M130" t="s">
        <v>389</v>
      </c>
    </row>
    <row r="131" spans="1:13" x14ac:dyDescent="0.25">
      <c r="A131" s="58">
        <v>923</v>
      </c>
      <c r="B131" s="59" t="s">
        <v>224</v>
      </c>
      <c r="L131" s="65">
        <v>11298</v>
      </c>
      <c r="M131" t="s">
        <v>390</v>
      </c>
    </row>
    <row r="132" spans="1:13" x14ac:dyDescent="0.25">
      <c r="A132" s="55">
        <v>930</v>
      </c>
      <c r="B132" s="56" t="s">
        <v>225</v>
      </c>
      <c r="L132" s="65">
        <v>11299</v>
      </c>
      <c r="M132" t="s">
        <v>391</v>
      </c>
    </row>
    <row r="133" spans="1:13" x14ac:dyDescent="0.25">
      <c r="A133" s="58">
        <v>931</v>
      </c>
      <c r="B133" s="59" t="s">
        <v>225</v>
      </c>
      <c r="L133" s="65">
        <v>11300</v>
      </c>
      <c r="M133" t="s">
        <v>392</v>
      </c>
    </row>
    <row r="134" spans="1:13" x14ac:dyDescent="0.25">
      <c r="A134" s="58">
        <v>932</v>
      </c>
      <c r="B134" s="59" t="s">
        <v>226</v>
      </c>
      <c r="L134" s="65">
        <v>11310</v>
      </c>
      <c r="M134" t="s">
        <v>392</v>
      </c>
    </row>
    <row r="135" spans="1:13" x14ac:dyDescent="0.25">
      <c r="A135" s="55">
        <v>940</v>
      </c>
      <c r="B135" s="56" t="s">
        <v>227</v>
      </c>
      <c r="L135" s="65">
        <v>11311</v>
      </c>
      <c r="M135" t="s">
        <v>392</v>
      </c>
    </row>
    <row r="136" spans="1:13" x14ac:dyDescent="0.25">
      <c r="A136" s="58">
        <v>941</v>
      </c>
      <c r="B136" s="59" t="s">
        <v>228</v>
      </c>
      <c r="L136" s="65">
        <v>11316</v>
      </c>
      <c r="M136" t="s">
        <v>393</v>
      </c>
    </row>
    <row r="137" spans="1:13" x14ac:dyDescent="0.25">
      <c r="A137" s="58">
        <v>942</v>
      </c>
      <c r="B137" s="59" t="s">
        <v>229</v>
      </c>
      <c r="L137" s="65">
        <v>11317</v>
      </c>
      <c r="M137" t="s">
        <v>394</v>
      </c>
    </row>
    <row r="138" spans="1:13" x14ac:dyDescent="0.25">
      <c r="A138" s="55">
        <v>950</v>
      </c>
      <c r="B138" s="56" t="s">
        <v>230</v>
      </c>
      <c r="L138" s="65">
        <v>11318</v>
      </c>
      <c r="M138" t="s">
        <v>395</v>
      </c>
    </row>
    <row r="139" spans="1:13" x14ac:dyDescent="0.25">
      <c r="A139" s="55">
        <v>960</v>
      </c>
      <c r="B139" s="56" t="s">
        <v>231</v>
      </c>
      <c r="L139" s="65">
        <v>11319</v>
      </c>
      <c r="M139" t="s">
        <v>396</v>
      </c>
    </row>
    <row r="140" spans="1:13" x14ac:dyDescent="0.25">
      <c r="A140" s="55">
        <v>970</v>
      </c>
      <c r="B140" s="56" t="s">
        <v>232</v>
      </c>
      <c r="L140" s="65">
        <v>12000</v>
      </c>
      <c r="M140" t="s">
        <v>397</v>
      </c>
    </row>
    <row r="141" spans="1:13" x14ac:dyDescent="0.25">
      <c r="A141" s="55">
        <v>980</v>
      </c>
      <c r="B141" s="56" t="s">
        <v>233</v>
      </c>
      <c r="L141" s="65">
        <v>12100</v>
      </c>
      <c r="M141" t="s">
        <v>397</v>
      </c>
    </row>
    <row r="142" spans="1:13" x14ac:dyDescent="0.25">
      <c r="L142" s="65">
        <v>12110</v>
      </c>
      <c r="M142" t="s">
        <v>397</v>
      </c>
    </row>
    <row r="143" spans="1:13" x14ac:dyDescent="0.25">
      <c r="L143" s="65">
        <v>12111</v>
      </c>
      <c r="M143" t="s">
        <v>398</v>
      </c>
    </row>
    <row r="144" spans="1:13" x14ac:dyDescent="0.25">
      <c r="L144" s="65">
        <v>12112</v>
      </c>
      <c r="M144" t="s">
        <v>399</v>
      </c>
    </row>
    <row r="145" spans="12:13" x14ac:dyDescent="0.25">
      <c r="L145" s="65">
        <v>12117</v>
      </c>
      <c r="M145" t="s">
        <v>400</v>
      </c>
    </row>
    <row r="146" spans="12:13" x14ac:dyDescent="0.25">
      <c r="L146" s="65">
        <v>12118</v>
      </c>
      <c r="M146" t="s">
        <v>401</v>
      </c>
    </row>
    <row r="147" spans="12:13" x14ac:dyDescent="0.25">
      <c r="L147" s="65">
        <v>12119</v>
      </c>
      <c r="M147" t="s">
        <v>402</v>
      </c>
    </row>
    <row r="148" spans="12:13" x14ac:dyDescent="0.25">
      <c r="L148" s="65">
        <v>13000</v>
      </c>
      <c r="M148" t="s">
        <v>403</v>
      </c>
    </row>
    <row r="149" spans="12:13" x14ac:dyDescent="0.25">
      <c r="L149" s="65">
        <v>13100</v>
      </c>
      <c r="M149" t="s">
        <v>403</v>
      </c>
    </row>
    <row r="150" spans="12:13" x14ac:dyDescent="0.25">
      <c r="L150" s="65">
        <v>13110</v>
      </c>
      <c r="M150" t="s">
        <v>403</v>
      </c>
    </row>
    <row r="151" spans="12:13" x14ac:dyDescent="0.25">
      <c r="L151" s="65">
        <v>13111</v>
      </c>
      <c r="M151" t="s">
        <v>404</v>
      </c>
    </row>
    <row r="152" spans="12:13" x14ac:dyDescent="0.25">
      <c r="L152" s="65">
        <v>13112</v>
      </c>
      <c r="M152" t="s">
        <v>405</v>
      </c>
    </row>
    <row r="153" spans="12:13" x14ac:dyDescent="0.25">
      <c r="L153" s="65">
        <v>13113</v>
      </c>
      <c r="M153" t="s">
        <v>406</v>
      </c>
    </row>
    <row r="154" spans="12:13" x14ac:dyDescent="0.25">
      <c r="L154" s="65">
        <v>13114</v>
      </c>
      <c r="M154" t="s">
        <v>407</v>
      </c>
    </row>
    <row r="155" spans="12:13" x14ac:dyDescent="0.25">
      <c r="L155" s="65">
        <v>13115</v>
      </c>
      <c r="M155" t="s">
        <v>408</v>
      </c>
    </row>
    <row r="156" spans="12:13" x14ac:dyDescent="0.25">
      <c r="L156" s="65">
        <v>13117</v>
      </c>
      <c r="M156" t="s">
        <v>409</v>
      </c>
    </row>
    <row r="157" spans="12:13" x14ac:dyDescent="0.25">
      <c r="L157" s="65">
        <v>13118</v>
      </c>
      <c r="M157" t="s">
        <v>410</v>
      </c>
    </row>
    <row r="158" spans="12:13" x14ac:dyDescent="0.25">
      <c r="L158" s="65">
        <v>13119</v>
      </c>
      <c r="M158" t="s">
        <v>411</v>
      </c>
    </row>
    <row r="159" spans="12:13" x14ac:dyDescent="0.25">
      <c r="L159" s="65">
        <v>14000</v>
      </c>
      <c r="M159" t="s">
        <v>412</v>
      </c>
    </row>
    <row r="160" spans="12:13" x14ac:dyDescent="0.25">
      <c r="L160" s="65">
        <v>14100</v>
      </c>
      <c r="M160" t="s">
        <v>413</v>
      </c>
    </row>
    <row r="161" spans="12:13" x14ac:dyDescent="0.25">
      <c r="L161" s="65">
        <v>14110</v>
      </c>
      <c r="M161" t="s">
        <v>413</v>
      </c>
    </row>
    <row r="162" spans="12:13" x14ac:dyDescent="0.25">
      <c r="L162" s="65">
        <v>14111</v>
      </c>
      <c r="M162" t="s">
        <v>414</v>
      </c>
    </row>
    <row r="163" spans="12:13" x14ac:dyDescent="0.25">
      <c r="L163" s="65">
        <v>14112</v>
      </c>
      <c r="M163" t="s">
        <v>415</v>
      </c>
    </row>
    <row r="164" spans="12:13" x14ac:dyDescent="0.25">
      <c r="L164" s="65">
        <v>14113</v>
      </c>
      <c r="M164" t="s">
        <v>416</v>
      </c>
    </row>
    <row r="165" spans="12:13" x14ac:dyDescent="0.25">
      <c r="L165" s="65">
        <v>14114</v>
      </c>
      <c r="M165" t="s">
        <v>417</v>
      </c>
    </row>
    <row r="166" spans="12:13" x14ac:dyDescent="0.25">
      <c r="L166" s="65">
        <v>14115</v>
      </c>
      <c r="M166" t="s">
        <v>418</v>
      </c>
    </row>
    <row r="167" spans="12:13" x14ac:dyDescent="0.25">
      <c r="L167" s="65">
        <v>14117</v>
      </c>
      <c r="M167" t="s">
        <v>419</v>
      </c>
    </row>
    <row r="168" spans="12:13" x14ac:dyDescent="0.25">
      <c r="L168" s="65">
        <v>14118</v>
      </c>
      <c r="M168" t="s">
        <v>420</v>
      </c>
    </row>
    <row r="169" spans="12:13" x14ac:dyDescent="0.25">
      <c r="L169" s="65">
        <v>14119</v>
      </c>
      <c r="M169" t="s">
        <v>421</v>
      </c>
    </row>
    <row r="170" spans="12:13" x14ac:dyDescent="0.25">
      <c r="L170" s="65">
        <v>14200</v>
      </c>
      <c r="M170" t="s">
        <v>422</v>
      </c>
    </row>
    <row r="171" spans="12:13" x14ac:dyDescent="0.25">
      <c r="L171" s="65">
        <v>14210</v>
      </c>
      <c r="M171" t="s">
        <v>422</v>
      </c>
    </row>
    <row r="172" spans="12:13" x14ac:dyDescent="0.25">
      <c r="L172" s="65">
        <v>14211</v>
      </c>
      <c r="M172" t="s">
        <v>423</v>
      </c>
    </row>
    <row r="173" spans="12:13" x14ac:dyDescent="0.25">
      <c r="L173" s="65">
        <v>14212</v>
      </c>
      <c r="M173" t="s">
        <v>424</v>
      </c>
    </row>
    <row r="174" spans="12:13" x14ac:dyDescent="0.25">
      <c r="L174" s="65">
        <v>14213</v>
      </c>
      <c r="M174" t="s">
        <v>425</v>
      </c>
    </row>
    <row r="175" spans="12:13" x14ac:dyDescent="0.25">
      <c r="L175" s="65">
        <v>14217</v>
      </c>
      <c r="M175" t="s">
        <v>426</v>
      </c>
    </row>
    <row r="176" spans="12:13" x14ac:dyDescent="0.25">
      <c r="L176" s="65">
        <v>14218</v>
      </c>
      <c r="M176" t="s">
        <v>427</v>
      </c>
    </row>
    <row r="177" spans="12:13" x14ac:dyDescent="0.25">
      <c r="L177" s="65">
        <v>14219</v>
      </c>
      <c r="M177" t="s">
        <v>428</v>
      </c>
    </row>
    <row r="178" spans="12:13" x14ac:dyDescent="0.25">
      <c r="L178" s="65">
        <v>14300</v>
      </c>
      <c r="M178" t="s">
        <v>429</v>
      </c>
    </row>
    <row r="179" spans="12:13" x14ac:dyDescent="0.25">
      <c r="L179" s="65">
        <v>14310</v>
      </c>
      <c r="M179" t="s">
        <v>430</v>
      </c>
    </row>
    <row r="180" spans="12:13" x14ac:dyDescent="0.25">
      <c r="L180" s="65">
        <v>14311</v>
      </c>
      <c r="M180" t="s">
        <v>430</v>
      </c>
    </row>
    <row r="181" spans="12:13" x14ac:dyDescent="0.25">
      <c r="L181" s="65">
        <v>14317</v>
      </c>
      <c r="M181" t="s">
        <v>431</v>
      </c>
    </row>
    <row r="182" spans="12:13" x14ac:dyDescent="0.25">
      <c r="L182" s="65">
        <v>14318</v>
      </c>
      <c r="M182" t="s">
        <v>432</v>
      </c>
    </row>
    <row r="183" spans="12:13" x14ac:dyDescent="0.25">
      <c r="L183" s="65">
        <v>14319</v>
      </c>
      <c r="M183" t="s">
        <v>433</v>
      </c>
    </row>
    <row r="184" spans="12:13" x14ac:dyDescent="0.25">
      <c r="L184" s="65">
        <v>14320</v>
      </c>
      <c r="M184" t="s">
        <v>434</v>
      </c>
    </row>
    <row r="185" spans="12:13" x14ac:dyDescent="0.25">
      <c r="L185" s="65">
        <v>14321</v>
      </c>
      <c r="M185" t="s">
        <v>434</v>
      </c>
    </row>
    <row r="186" spans="12:13" x14ac:dyDescent="0.25">
      <c r="L186" s="65">
        <v>14327</v>
      </c>
      <c r="M186" t="s">
        <v>435</v>
      </c>
    </row>
    <row r="187" spans="12:13" x14ac:dyDescent="0.25">
      <c r="L187" s="65">
        <v>14328</v>
      </c>
      <c r="M187" t="s">
        <v>436</v>
      </c>
    </row>
    <row r="188" spans="12:13" x14ac:dyDescent="0.25">
      <c r="L188" s="65">
        <v>14329</v>
      </c>
      <c r="M188" t="s">
        <v>437</v>
      </c>
    </row>
    <row r="189" spans="12:13" x14ac:dyDescent="0.25">
      <c r="L189" s="65">
        <v>15000</v>
      </c>
      <c r="M189" t="s">
        <v>438</v>
      </c>
    </row>
    <row r="190" spans="12:13" x14ac:dyDescent="0.25">
      <c r="L190" s="65">
        <v>15100</v>
      </c>
      <c r="M190" t="s">
        <v>439</v>
      </c>
    </row>
    <row r="191" spans="12:13" x14ac:dyDescent="0.25">
      <c r="L191" s="65">
        <v>15110</v>
      </c>
      <c r="M191" t="s">
        <v>440</v>
      </c>
    </row>
    <row r="192" spans="12:13" x14ac:dyDescent="0.25">
      <c r="L192" s="65">
        <v>15111</v>
      </c>
      <c r="M192" t="s">
        <v>441</v>
      </c>
    </row>
    <row r="193" spans="12:13" x14ac:dyDescent="0.25">
      <c r="L193" s="65">
        <v>15112</v>
      </c>
      <c r="M193" t="s">
        <v>442</v>
      </c>
    </row>
    <row r="194" spans="12:13" x14ac:dyDescent="0.25">
      <c r="L194" s="65">
        <v>15113</v>
      </c>
      <c r="M194" t="s">
        <v>443</v>
      </c>
    </row>
    <row r="195" spans="12:13" x14ac:dyDescent="0.25">
      <c r="L195" s="65">
        <v>15114</v>
      </c>
      <c r="M195" t="s">
        <v>444</v>
      </c>
    </row>
    <row r="196" spans="12:13" x14ac:dyDescent="0.25">
      <c r="L196" s="65">
        <v>15115</v>
      </c>
      <c r="M196" t="s">
        <v>445</v>
      </c>
    </row>
    <row r="197" spans="12:13" x14ac:dyDescent="0.25">
      <c r="L197" s="65">
        <v>15120</v>
      </c>
      <c r="M197" t="s">
        <v>446</v>
      </c>
    </row>
    <row r="198" spans="12:13" x14ac:dyDescent="0.25">
      <c r="L198" s="65">
        <v>15121</v>
      </c>
      <c r="M198" t="s">
        <v>447</v>
      </c>
    </row>
    <row r="199" spans="12:13" x14ac:dyDescent="0.25">
      <c r="L199" s="65">
        <v>15122</v>
      </c>
      <c r="M199" t="s">
        <v>448</v>
      </c>
    </row>
    <row r="200" spans="12:13" x14ac:dyDescent="0.25">
      <c r="L200" s="65">
        <v>15123</v>
      </c>
      <c r="M200" t="s">
        <v>449</v>
      </c>
    </row>
    <row r="201" spans="12:13" x14ac:dyDescent="0.25">
      <c r="L201" s="65">
        <v>15124</v>
      </c>
      <c r="M201" t="s">
        <v>450</v>
      </c>
    </row>
    <row r="202" spans="12:13" x14ac:dyDescent="0.25">
      <c r="L202" s="65">
        <v>15125</v>
      </c>
      <c r="M202" t="s">
        <v>451</v>
      </c>
    </row>
    <row r="203" spans="12:13" x14ac:dyDescent="0.25">
      <c r="L203" s="65">
        <v>15126</v>
      </c>
      <c r="M203" t="s">
        <v>452</v>
      </c>
    </row>
    <row r="204" spans="12:13" x14ac:dyDescent="0.25">
      <c r="L204" s="65">
        <v>15127</v>
      </c>
      <c r="M204" t="s">
        <v>453</v>
      </c>
    </row>
    <row r="205" spans="12:13" x14ac:dyDescent="0.25">
      <c r="L205" s="65">
        <v>15128</v>
      </c>
      <c r="M205" t="s">
        <v>454</v>
      </c>
    </row>
    <row r="206" spans="12:13" x14ac:dyDescent="0.25">
      <c r="L206" s="65">
        <v>15129</v>
      </c>
      <c r="M206" t="s">
        <v>455</v>
      </c>
    </row>
    <row r="207" spans="12:13" x14ac:dyDescent="0.25">
      <c r="L207" s="65">
        <v>15130</v>
      </c>
      <c r="M207" t="s">
        <v>456</v>
      </c>
    </row>
    <row r="208" spans="12:13" x14ac:dyDescent="0.25">
      <c r="L208" s="65">
        <v>15131</v>
      </c>
      <c r="M208" t="s">
        <v>456</v>
      </c>
    </row>
    <row r="209" spans="12:13" x14ac:dyDescent="0.25">
      <c r="L209" s="65">
        <v>15140</v>
      </c>
      <c r="M209" t="s">
        <v>457</v>
      </c>
    </row>
    <row r="210" spans="12:13" x14ac:dyDescent="0.25">
      <c r="L210" s="65">
        <v>15141</v>
      </c>
      <c r="M210" t="s">
        <v>457</v>
      </c>
    </row>
    <row r="211" spans="12:13" x14ac:dyDescent="0.25">
      <c r="L211" s="65">
        <v>15150</v>
      </c>
      <c r="M211" t="s">
        <v>458</v>
      </c>
    </row>
    <row r="212" spans="12:13" x14ac:dyDescent="0.25">
      <c r="L212" s="65">
        <v>15151</v>
      </c>
      <c r="M212" t="s">
        <v>458</v>
      </c>
    </row>
    <row r="213" spans="12:13" x14ac:dyDescent="0.25">
      <c r="L213" s="65">
        <v>15160</v>
      </c>
      <c r="M213" t="s">
        <v>459</v>
      </c>
    </row>
    <row r="214" spans="12:13" x14ac:dyDescent="0.25">
      <c r="L214" s="65">
        <v>15161</v>
      </c>
      <c r="M214" t="s">
        <v>459</v>
      </c>
    </row>
    <row r="215" spans="12:13" x14ac:dyDescent="0.25">
      <c r="L215" s="65">
        <v>15170</v>
      </c>
      <c r="M215" t="s">
        <v>460</v>
      </c>
    </row>
    <row r="216" spans="12:13" x14ac:dyDescent="0.25">
      <c r="L216" s="65">
        <v>15171</v>
      </c>
      <c r="M216" t="s">
        <v>460</v>
      </c>
    </row>
    <row r="217" spans="12:13" x14ac:dyDescent="0.25">
      <c r="L217" s="65">
        <v>15180</v>
      </c>
      <c r="M217" t="s">
        <v>461</v>
      </c>
    </row>
    <row r="218" spans="12:13" x14ac:dyDescent="0.25">
      <c r="L218" s="65">
        <v>15181</v>
      </c>
      <c r="M218" t="s">
        <v>462</v>
      </c>
    </row>
    <row r="219" spans="12:13" x14ac:dyDescent="0.25">
      <c r="L219" s="65">
        <v>15182</v>
      </c>
      <c r="M219" t="s">
        <v>463</v>
      </c>
    </row>
    <row r="220" spans="12:13" x14ac:dyDescent="0.25">
      <c r="L220" s="65">
        <v>15200</v>
      </c>
      <c r="M220" t="s">
        <v>464</v>
      </c>
    </row>
    <row r="221" spans="12:13" x14ac:dyDescent="0.25">
      <c r="L221" s="65">
        <v>15210</v>
      </c>
      <c r="M221" t="s">
        <v>465</v>
      </c>
    </row>
    <row r="222" spans="12:13" x14ac:dyDescent="0.25">
      <c r="L222" s="65">
        <v>15211</v>
      </c>
      <c r="M222" t="s">
        <v>466</v>
      </c>
    </row>
    <row r="223" spans="12:13" x14ac:dyDescent="0.25">
      <c r="L223" s="65">
        <v>15212</v>
      </c>
      <c r="M223" t="s">
        <v>467</v>
      </c>
    </row>
    <row r="224" spans="12:13" x14ac:dyDescent="0.25">
      <c r="L224" s="65">
        <v>15213</v>
      </c>
      <c r="M224" t="s">
        <v>468</v>
      </c>
    </row>
    <row r="225" spans="12:13" x14ac:dyDescent="0.25">
      <c r="L225" s="65">
        <v>15214</v>
      </c>
      <c r="M225" t="s">
        <v>469</v>
      </c>
    </row>
    <row r="226" spans="12:13" x14ac:dyDescent="0.25">
      <c r="L226" s="65">
        <v>15215</v>
      </c>
      <c r="M226" t="s">
        <v>470</v>
      </c>
    </row>
    <row r="227" spans="12:13" x14ac:dyDescent="0.25">
      <c r="L227" s="65">
        <v>15220</v>
      </c>
      <c r="M227" t="s">
        <v>471</v>
      </c>
    </row>
    <row r="228" spans="12:13" x14ac:dyDescent="0.25">
      <c r="L228" s="65">
        <v>15221</v>
      </c>
      <c r="M228" t="s">
        <v>472</v>
      </c>
    </row>
    <row r="229" spans="12:13" x14ac:dyDescent="0.25">
      <c r="L229" s="65">
        <v>15222</v>
      </c>
      <c r="M229" t="s">
        <v>473</v>
      </c>
    </row>
    <row r="230" spans="12:13" x14ac:dyDescent="0.25">
      <c r="L230" s="65">
        <v>15223</v>
      </c>
      <c r="M230" t="s">
        <v>474</v>
      </c>
    </row>
    <row r="231" spans="12:13" x14ac:dyDescent="0.25">
      <c r="L231" s="65">
        <v>15224</v>
      </c>
      <c r="M231" t="s">
        <v>475</v>
      </c>
    </row>
    <row r="232" spans="12:13" x14ac:dyDescent="0.25">
      <c r="L232" s="65">
        <v>15225</v>
      </c>
      <c r="M232" t="s">
        <v>476</v>
      </c>
    </row>
    <row r="233" spans="12:13" x14ac:dyDescent="0.25">
      <c r="L233" s="65">
        <v>15226</v>
      </c>
      <c r="M233" t="s">
        <v>477</v>
      </c>
    </row>
    <row r="234" spans="12:13" x14ac:dyDescent="0.25">
      <c r="L234" s="65">
        <v>15227</v>
      </c>
      <c r="M234" t="s">
        <v>478</v>
      </c>
    </row>
    <row r="235" spans="12:13" x14ac:dyDescent="0.25">
      <c r="L235" s="65">
        <v>15228</v>
      </c>
      <c r="M235" t="s">
        <v>479</v>
      </c>
    </row>
    <row r="236" spans="12:13" x14ac:dyDescent="0.25">
      <c r="L236" s="65">
        <v>15229</v>
      </c>
      <c r="M236" t="s">
        <v>480</v>
      </c>
    </row>
    <row r="237" spans="12:13" x14ac:dyDescent="0.25">
      <c r="L237" s="65">
        <v>15230</v>
      </c>
      <c r="M237" t="s">
        <v>481</v>
      </c>
    </row>
    <row r="238" spans="12:13" x14ac:dyDescent="0.25">
      <c r="L238" s="65">
        <v>15231</v>
      </c>
      <c r="M238" t="s">
        <v>481</v>
      </c>
    </row>
    <row r="239" spans="12:13" x14ac:dyDescent="0.25">
      <c r="L239" s="65">
        <v>15240</v>
      </c>
      <c r="M239" t="s">
        <v>482</v>
      </c>
    </row>
    <row r="240" spans="12:13" x14ac:dyDescent="0.25">
      <c r="L240" s="65">
        <v>15241</v>
      </c>
      <c r="M240" t="s">
        <v>482</v>
      </c>
    </row>
    <row r="241" spans="12:13" x14ac:dyDescent="0.25">
      <c r="L241" s="65">
        <v>15250</v>
      </c>
      <c r="M241" t="s">
        <v>483</v>
      </c>
    </row>
    <row r="242" spans="12:13" x14ac:dyDescent="0.25">
      <c r="L242" s="65">
        <v>15251</v>
      </c>
      <c r="M242" t="s">
        <v>483</v>
      </c>
    </row>
    <row r="243" spans="12:13" x14ac:dyDescent="0.25">
      <c r="L243" s="65">
        <v>15260</v>
      </c>
      <c r="M243" t="s">
        <v>484</v>
      </c>
    </row>
    <row r="244" spans="12:13" x14ac:dyDescent="0.25">
      <c r="L244" s="65">
        <v>15261</v>
      </c>
      <c r="M244" t="s">
        <v>484</v>
      </c>
    </row>
    <row r="245" spans="12:13" x14ac:dyDescent="0.25">
      <c r="L245" s="65">
        <v>15270</v>
      </c>
      <c r="M245" t="s">
        <v>485</v>
      </c>
    </row>
    <row r="246" spans="12:13" x14ac:dyDescent="0.25">
      <c r="L246" s="65">
        <v>15271</v>
      </c>
      <c r="M246" t="s">
        <v>485</v>
      </c>
    </row>
    <row r="247" spans="12:13" x14ac:dyDescent="0.25">
      <c r="L247" s="65">
        <v>15280</v>
      </c>
      <c r="M247" t="s">
        <v>486</v>
      </c>
    </row>
    <row r="248" spans="12:13" x14ac:dyDescent="0.25">
      <c r="L248" s="65">
        <v>15281</v>
      </c>
      <c r="M248" t="s">
        <v>487</v>
      </c>
    </row>
    <row r="249" spans="12:13" x14ac:dyDescent="0.25">
      <c r="L249" s="65">
        <v>15282</v>
      </c>
      <c r="M249" t="s">
        <v>488</v>
      </c>
    </row>
    <row r="250" spans="12:13" x14ac:dyDescent="0.25">
      <c r="L250" s="65">
        <v>16000</v>
      </c>
      <c r="M250" t="s">
        <v>489</v>
      </c>
    </row>
    <row r="251" spans="12:13" x14ac:dyDescent="0.25">
      <c r="L251" s="65">
        <v>16100</v>
      </c>
      <c r="M251" t="s">
        <v>489</v>
      </c>
    </row>
    <row r="252" spans="12:13" x14ac:dyDescent="0.25">
      <c r="L252" s="65">
        <v>16110</v>
      </c>
      <c r="M252" t="s">
        <v>490</v>
      </c>
    </row>
    <row r="253" spans="12:13" x14ac:dyDescent="0.25">
      <c r="L253" s="65">
        <v>16111</v>
      </c>
      <c r="M253" t="s">
        <v>490</v>
      </c>
    </row>
    <row r="254" spans="12:13" x14ac:dyDescent="0.25">
      <c r="L254" s="65">
        <v>16117</v>
      </c>
      <c r="M254" t="s">
        <v>491</v>
      </c>
    </row>
    <row r="255" spans="12:13" x14ac:dyDescent="0.25">
      <c r="L255" s="65">
        <v>16118</v>
      </c>
      <c r="M255" t="s">
        <v>492</v>
      </c>
    </row>
    <row r="256" spans="12:13" x14ac:dyDescent="0.25">
      <c r="L256" s="65">
        <v>16119</v>
      </c>
      <c r="M256" t="s">
        <v>493</v>
      </c>
    </row>
    <row r="257" spans="12:13" x14ac:dyDescent="0.25">
      <c r="L257" s="65">
        <v>16120</v>
      </c>
      <c r="M257" t="s">
        <v>494</v>
      </c>
    </row>
    <row r="258" spans="12:13" x14ac:dyDescent="0.25">
      <c r="L258" s="65">
        <v>16121</v>
      </c>
      <c r="M258" t="s">
        <v>494</v>
      </c>
    </row>
    <row r="259" spans="12:13" x14ac:dyDescent="0.25">
      <c r="L259" s="65">
        <v>16127</v>
      </c>
      <c r="M259" t="s">
        <v>495</v>
      </c>
    </row>
    <row r="260" spans="12:13" x14ac:dyDescent="0.25">
      <c r="L260" s="65">
        <v>16128</v>
      </c>
      <c r="M260" t="s">
        <v>496</v>
      </c>
    </row>
    <row r="261" spans="12:13" x14ac:dyDescent="0.25">
      <c r="L261" s="65">
        <v>16129</v>
      </c>
      <c r="M261" t="s">
        <v>497</v>
      </c>
    </row>
    <row r="262" spans="12:13" x14ac:dyDescent="0.25">
      <c r="L262" s="65">
        <v>16130</v>
      </c>
      <c r="M262" t="s">
        <v>498</v>
      </c>
    </row>
    <row r="263" spans="12:13" x14ac:dyDescent="0.25">
      <c r="L263" s="65">
        <v>16131</v>
      </c>
      <c r="M263" t="s">
        <v>498</v>
      </c>
    </row>
    <row r="264" spans="12:13" x14ac:dyDescent="0.25">
      <c r="L264" s="65">
        <v>16137</v>
      </c>
      <c r="M264" t="s">
        <v>499</v>
      </c>
    </row>
    <row r="265" spans="12:13" x14ac:dyDescent="0.25">
      <c r="L265" s="65">
        <v>16138</v>
      </c>
      <c r="M265" t="s">
        <v>500</v>
      </c>
    </row>
    <row r="266" spans="12:13" x14ac:dyDescent="0.25">
      <c r="L266" s="65">
        <v>16139</v>
      </c>
      <c r="M266" t="s">
        <v>501</v>
      </c>
    </row>
    <row r="267" spans="12:13" x14ac:dyDescent="0.25">
      <c r="L267" s="65">
        <v>16140</v>
      </c>
      <c r="M267" t="s">
        <v>502</v>
      </c>
    </row>
    <row r="268" spans="12:13" x14ac:dyDescent="0.25">
      <c r="L268" s="65">
        <v>16141</v>
      </c>
      <c r="M268" t="s">
        <v>502</v>
      </c>
    </row>
    <row r="269" spans="12:13" x14ac:dyDescent="0.25">
      <c r="L269" s="65">
        <v>16147</v>
      </c>
      <c r="M269" t="s">
        <v>503</v>
      </c>
    </row>
    <row r="270" spans="12:13" x14ac:dyDescent="0.25">
      <c r="L270" s="65">
        <v>16148</v>
      </c>
      <c r="M270" t="s">
        <v>504</v>
      </c>
    </row>
    <row r="271" spans="12:13" x14ac:dyDescent="0.25">
      <c r="L271" s="65">
        <v>16149</v>
      </c>
      <c r="M271" t="s">
        <v>505</v>
      </c>
    </row>
    <row r="272" spans="12:13" x14ac:dyDescent="0.25">
      <c r="L272" s="65">
        <v>16150</v>
      </c>
      <c r="M272" t="s">
        <v>506</v>
      </c>
    </row>
    <row r="273" spans="12:13" x14ac:dyDescent="0.25">
      <c r="L273" s="65">
        <v>16151</v>
      </c>
      <c r="M273" t="s">
        <v>506</v>
      </c>
    </row>
    <row r="274" spans="12:13" x14ac:dyDescent="0.25">
      <c r="L274" s="65">
        <v>16157</v>
      </c>
      <c r="M274" t="s">
        <v>507</v>
      </c>
    </row>
    <row r="275" spans="12:13" x14ac:dyDescent="0.25">
      <c r="L275" s="65">
        <v>16158</v>
      </c>
      <c r="M275" t="s">
        <v>508</v>
      </c>
    </row>
    <row r="276" spans="12:13" x14ac:dyDescent="0.25">
      <c r="L276" s="65">
        <v>16159</v>
      </c>
      <c r="M276" t="s">
        <v>509</v>
      </c>
    </row>
    <row r="277" spans="12:13" x14ac:dyDescent="0.25">
      <c r="L277" s="65">
        <v>16160</v>
      </c>
      <c r="M277" t="s">
        <v>510</v>
      </c>
    </row>
    <row r="278" spans="12:13" x14ac:dyDescent="0.25">
      <c r="L278" s="65">
        <v>16161</v>
      </c>
      <c r="M278" t="s">
        <v>510</v>
      </c>
    </row>
    <row r="279" spans="12:13" x14ac:dyDescent="0.25">
      <c r="L279" s="65">
        <v>16167</v>
      </c>
      <c r="M279" t="s">
        <v>511</v>
      </c>
    </row>
    <row r="280" spans="12:13" x14ac:dyDescent="0.25">
      <c r="L280" s="65">
        <v>16168</v>
      </c>
      <c r="M280" t="s">
        <v>512</v>
      </c>
    </row>
    <row r="281" spans="12:13" x14ac:dyDescent="0.25">
      <c r="L281" s="65">
        <v>16169</v>
      </c>
      <c r="M281" t="s">
        <v>513</v>
      </c>
    </row>
    <row r="282" spans="12:13" x14ac:dyDescent="0.25">
      <c r="L282" s="65">
        <v>16170</v>
      </c>
      <c r="M282" t="s">
        <v>514</v>
      </c>
    </row>
    <row r="283" spans="12:13" x14ac:dyDescent="0.25">
      <c r="L283" s="65">
        <v>16171</v>
      </c>
      <c r="M283" t="s">
        <v>514</v>
      </c>
    </row>
    <row r="284" spans="12:13" x14ac:dyDescent="0.25">
      <c r="L284" s="65">
        <v>16177</v>
      </c>
      <c r="M284" t="s">
        <v>515</v>
      </c>
    </row>
    <row r="285" spans="12:13" x14ac:dyDescent="0.25">
      <c r="L285" s="65">
        <v>16178</v>
      </c>
      <c r="M285" t="s">
        <v>516</v>
      </c>
    </row>
    <row r="286" spans="12:13" x14ac:dyDescent="0.25">
      <c r="L286" s="65">
        <v>16179</v>
      </c>
      <c r="M286" t="s">
        <v>517</v>
      </c>
    </row>
    <row r="287" spans="12:13" x14ac:dyDescent="0.25">
      <c r="L287" s="65">
        <v>16180</v>
      </c>
      <c r="M287" t="s">
        <v>518</v>
      </c>
    </row>
    <row r="288" spans="12:13" x14ac:dyDescent="0.25">
      <c r="L288" s="65">
        <v>16181</v>
      </c>
      <c r="M288" t="s">
        <v>518</v>
      </c>
    </row>
    <row r="289" spans="12:13" x14ac:dyDescent="0.25">
      <c r="L289" s="65">
        <v>16190</v>
      </c>
      <c r="M289" t="s">
        <v>519</v>
      </c>
    </row>
    <row r="290" spans="12:13" x14ac:dyDescent="0.25">
      <c r="L290" s="65">
        <v>16191</v>
      </c>
      <c r="M290" t="s">
        <v>519</v>
      </c>
    </row>
    <row r="291" spans="12:13" x14ac:dyDescent="0.25">
      <c r="L291" s="65">
        <v>20000</v>
      </c>
      <c r="M291" t="s">
        <v>520</v>
      </c>
    </row>
    <row r="292" spans="12:13" x14ac:dyDescent="0.25">
      <c r="L292" s="65">
        <v>21000</v>
      </c>
      <c r="M292" t="s">
        <v>521</v>
      </c>
    </row>
    <row r="293" spans="12:13" x14ac:dyDescent="0.25">
      <c r="L293" s="65">
        <v>21100</v>
      </c>
      <c r="M293" t="s">
        <v>522</v>
      </c>
    </row>
    <row r="294" spans="12:13" x14ac:dyDescent="0.25">
      <c r="L294" s="65">
        <v>21110</v>
      </c>
      <c r="M294" t="s">
        <v>522</v>
      </c>
    </row>
    <row r="295" spans="12:13" x14ac:dyDescent="0.25">
      <c r="L295" s="65">
        <v>21111</v>
      </c>
      <c r="M295" t="s">
        <v>522</v>
      </c>
    </row>
    <row r="296" spans="12:13" x14ac:dyDescent="0.25">
      <c r="L296" s="65">
        <v>21117</v>
      </c>
      <c r="M296" t="s">
        <v>523</v>
      </c>
    </row>
    <row r="297" spans="12:13" x14ac:dyDescent="0.25">
      <c r="L297" s="65">
        <v>21118</v>
      </c>
      <c r="M297" t="s">
        <v>524</v>
      </c>
    </row>
    <row r="298" spans="12:13" x14ac:dyDescent="0.25">
      <c r="L298" s="65">
        <v>21119</v>
      </c>
      <c r="M298" t="s">
        <v>525</v>
      </c>
    </row>
    <row r="299" spans="12:13" x14ac:dyDescent="0.25">
      <c r="L299" s="65">
        <v>21200</v>
      </c>
      <c r="M299" t="s">
        <v>526</v>
      </c>
    </row>
    <row r="300" spans="12:13" x14ac:dyDescent="0.25">
      <c r="L300" s="65">
        <v>21210</v>
      </c>
      <c r="M300" t="s">
        <v>527</v>
      </c>
    </row>
    <row r="301" spans="12:13" x14ac:dyDescent="0.25">
      <c r="L301" s="65">
        <v>21211</v>
      </c>
      <c r="M301" t="s">
        <v>527</v>
      </c>
    </row>
    <row r="302" spans="12:13" x14ac:dyDescent="0.25">
      <c r="L302" s="65">
        <v>21220</v>
      </c>
      <c r="M302" t="s">
        <v>528</v>
      </c>
    </row>
    <row r="303" spans="12:13" x14ac:dyDescent="0.25">
      <c r="L303" s="65">
        <v>21221</v>
      </c>
      <c r="M303" t="s">
        <v>528</v>
      </c>
    </row>
    <row r="304" spans="12:13" x14ac:dyDescent="0.25">
      <c r="L304" s="65">
        <v>21230</v>
      </c>
      <c r="M304" t="s">
        <v>529</v>
      </c>
    </row>
    <row r="305" spans="12:13" x14ac:dyDescent="0.25">
      <c r="L305" s="65">
        <v>21231</v>
      </c>
      <c r="M305" t="s">
        <v>529</v>
      </c>
    </row>
    <row r="306" spans="12:13" x14ac:dyDescent="0.25">
      <c r="L306" s="65">
        <v>21300</v>
      </c>
      <c r="M306" t="s">
        <v>530</v>
      </c>
    </row>
    <row r="307" spans="12:13" x14ac:dyDescent="0.25">
      <c r="L307" s="65">
        <v>21310</v>
      </c>
      <c r="M307" t="s">
        <v>530</v>
      </c>
    </row>
    <row r="308" spans="12:13" x14ac:dyDescent="0.25">
      <c r="L308" s="65">
        <v>21311</v>
      </c>
      <c r="M308" t="s">
        <v>531</v>
      </c>
    </row>
    <row r="309" spans="12:13" x14ac:dyDescent="0.25">
      <c r="L309" s="65">
        <v>21312</v>
      </c>
      <c r="M309" t="s">
        <v>532</v>
      </c>
    </row>
    <row r="310" spans="12:13" x14ac:dyDescent="0.25">
      <c r="L310" s="65">
        <v>21313</v>
      </c>
      <c r="M310" t="s">
        <v>533</v>
      </c>
    </row>
    <row r="311" spans="12:13" x14ac:dyDescent="0.25">
      <c r="L311" s="65">
        <v>21314</v>
      </c>
      <c r="M311" t="s">
        <v>534</v>
      </c>
    </row>
    <row r="312" spans="12:13" x14ac:dyDescent="0.25">
      <c r="L312" s="65">
        <v>21319</v>
      </c>
      <c r="M312" t="s">
        <v>535</v>
      </c>
    </row>
    <row r="313" spans="12:13" x14ac:dyDescent="0.25">
      <c r="L313" s="65">
        <v>22000</v>
      </c>
      <c r="M313" t="s">
        <v>536</v>
      </c>
    </row>
    <row r="314" spans="12:13" x14ac:dyDescent="0.25">
      <c r="L314" s="65">
        <v>22100</v>
      </c>
      <c r="M314" t="s">
        <v>537</v>
      </c>
    </row>
    <row r="315" spans="12:13" x14ac:dyDescent="0.25">
      <c r="L315" s="65">
        <v>22110</v>
      </c>
      <c r="M315" t="s">
        <v>537</v>
      </c>
    </row>
    <row r="316" spans="12:13" x14ac:dyDescent="0.25">
      <c r="L316" s="65">
        <v>22111</v>
      </c>
      <c r="M316" t="s">
        <v>537</v>
      </c>
    </row>
    <row r="317" spans="12:13" x14ac:dyDescent="0.25">
      <c r="L317" s="65">
        <v>22120</v>
      </c>
      <c r="M317" t="s">
        <v>538</v>
      </c>
    </row>
    <row r="318" spans="12:13" x14ac:dyDescent="0.25">
      <c r="L318" s="65">
        <v>22121</v>
      </c>
      <c r="M318" t="s">
        <v>538</v>
      </c>
    </row>
    <row r="319" spans="12:13" x14ac:dyDescent="0.25">
      <c r="L319" s="65">
        <v>22129</v>
      </c>
      <c r="M319" t="s">
        <v>539</v>
      </c>
    </row>
    <row r="320" spans="12:13" x14ac:dyDescent="0.25">
      <c r="L320" s="65">
        <v>22200</v>
      </c>
      <c r="M320" t="s">
        <v>540</v>
      </c>
    </row>
    <row r="321" spans="12:13" x14ac:dyDescent="0.25">
      <c r="L321" s="65">
        <v>22210</v>
      </c>
      <c r="M321" t="s">
        <v>541</v>
      </c>
    </row>
    <row r="322" spans="12:13" x14ac:dyDescent="0.25">
      <c r="L322" s="65">
        <v>22211</v>
      </c>
      <c r="M322" t="s">
        <v>542</v>
      </c>
    </row>
    <row r="323" spans="12:13" x14ac:dyDescent="0.25">
      <c r="L323" s="65">
        <v>22220</v>
      </c>
      <c r="M323" t="s">
        <v>543</v>
      </c>
    </row>
    <row r="324" spans="12:13" x14ac:dyDescent="0.25">
      <c r="L324" s="65">
        <v>22221</v>
      </c>
      <c r="M324" t="s">
        <v>544</v>
      </c>
    </row>
    <row r="325" spans="12:13" x14ac:dyDescent="0.25">
      <c r="L325" s="65">
        <v>22222</v>
      </c>
      <c r="M325" t="s">
        <v>545</v>
      </c>
    </row>
    <row r="326" spans="12:13" x14ac:dyDescent="0.25">
      <c r="L326" s="65">
        <v>22230</v>
      </c>
      <c r="M326" t="s">
        <v>546</v>
      </c>
    </row>
    <row r="327" spans="12:13" x14ac:dyDescent="0.25">
      <c r="L327" s="65">
        <v>22231</v>
      </c>
      <c r="M327" t="s">
        <v>547</v>
      </c>
    </row>
    <row r="328" spans="12:13" x14ac:dyDescent="0.25">
      <c r="L328" s="65">
        <v>22232</v>
      </c>
      <c r="M328" t="s">
        <v>548</v>
      </c>
    </row>
    <row r="329" spans="12:13" x14ac:dyDescent="0.25">
      <c r="L329" s="65">
        <v>22233</v>
      </c>
      <c r="M329" t="s">
        <v>549</v>
      </c>
    </row>
    <row r="330" spans="12:13" x14ac:dyDescent="0.25">
      <c r="L330" s="65">
        <v>22234</v>
      </c>
      <c r="M330" t="s">
        <v>550</v>
      </c>
    </row>
    <row r="331" spans="12:13" x14ac:dyDescent="0.25">
      <c r="L331" s="65">
        <v>22235</v>
      </c>
      <c r="M331" t="s">
        <v>551</v>
      </c>
    </row>
    <row r="332" spans="12:13" x14ac:dyDescent="0.25">
      <c r="L332" s="65">
        <v>22236</v>
      </c>
      <c r="M332" t="s">
        <v>552</v>
      </c>
    </row>
    <row r="333" spans="12:13" x14ac:dyDescent="0.25">
      <c r="L333" s="65">
        <v>22237</v>
      </c>
      <c r="M333" t="s">
        <v>553</v>
      </c>
    </row>
    <row r="334" spans="12:13" x14ac:dyDescent="0.25">
      <c r="L334" s="65">
        <v>22238</v>
      </c>
      <c r="M334" t="s">
        <v>554</v>
      </c>
    </row>
    <row r="335" spans="12:13" x14ac:dyDescent="0.25">
      <c r="L335" s="65">
        <v>22239</v>
      </c>
      <c r="M335" t="s">
        <v>555</v>
      </c>
    </row>
    <row r="336" spans="12:13" x14ac:dyDescent="0.25">
      <c r="L336" s="65">
        <v>22290</v>
      </c>
      <c r="M336" t="s">
        <v>556</v>
      </c>
    </row>
    <row r="337" spans="12:13" x14ac:dyDescent="0.25">
      <c r="L337" s="65">
        <v>22291</v>
      </c>
      <c r="M337" t="s">
        <v>557</v>
      </c>
    </row>
    <row r="338" spans="12:13" x14ac:dyDescent="0.25">
      <c r="L338" s="65">
        <v>22292</v>
      </c>
      <c r="M338" t="s">
        <v>558</v>
      </c>
    </row>
    <row r="339" spans="12:13" x14ac:dyDescent="0.25">
      <c r="L339" s="65">
        <v>22293</v>
      </c>
      <c r="M339" t="s">
        <v>559</v>
      </c>
    </row>
    <row r="340" spans="12:13" x14ac:dyDescent="0.25">
      <c r="L340" s="66">
        <v>100000</v>
      </c>
      <c r="M340" t="s">
        <v>560</v>
      </c>
    </row>
    <row r="341" spans="12:13" x14ac:dyDescent="0.25">
      <c r="L341" s="65">
        <v>110000</v>
      </c>
      <c r="M341" t="s">
        <v>561</v>
      </c>
    </row>
    <row r="342" spans="12:13" x14ac:dyDescent="0.25">
      <c r="L342" s="65">
        <v>111000</v>
      </c>
      <c r="M342" t="s">
        <v>562</v>
      </c>
    </row>
    <row r="343" spans="12:13" x14ac:dyDescent="0.25">
      <c r="L343" s="65">
        <v>111100</v>
      </c>
      <c r="M343" t="s">
        <v>563</v>
      </c>
    </row>
    <row r="344" spans="12:13" x14ac:dyDescent="0.25">
      <c r="L344" s="65">
        <v>111110</v>
      </c>
      <c r="M344" t="s">
        <v>564</v>
      </c>
    </row>
    <row r="345" spans="12:13" x14ac:dyDescent="0.25">
      <c r="L345" s="65">
        <v>111111</v>
      </c>
      <c r="M345" t="s">
        <v>564</v>
      </c>
    </row>
    <row r="346" spans="12:13" x14ac:dyDescent="0.25">
      <c r="L346" s="65">
        <v>111190</v>
      </c>
      <c r="M346" t="s">
        <v>565</v>
      </c>
    </row>
    <row r="347" spans="12:13" x14ac:dyDescent="0.25">
      <c r="L347" s="65">
        <v>111191</v>
      </c>
      <c r="M347" t="s">
        <v>565</v>
      </c>
    </row>
    <row r="348" spans="12:13" x14ac:dyDescent="0.25">
      <c r="L348" s="65">
        <v>111200</v>
      </c>
      <c r="M348" t="s">
        <v>566</v>
      </c>
    </row>
    <row r="349" spans="12:13" x14ac:dyDescent="0.25">
      <c r="L349" s="65">
        <v>111210</v>
      </c>
      <c r="M349" t="s">
        <v>567</v>
      </c>
    </row>
    <row r="350" spans="12:13" x14ac:dyDescent="0.25">
      <c r="L350" s="65">
        <v>111211</v>
      </c>
      <c r="M350" t="s">
        <v>567</v>
      </c>
    </row>
    <row r="351" spans="12:13" x14ac:dyDescent="0.25">
      <c r="L351" s="65">
        <v>111220</v>
      </c>
      <c r="M351" t="s">
        <v>568</v>
      </c>
    </row>
    <row r="352" spans="12:13" x14ac:dyDescent="0.25">
      <c r="L352" s="65">
        <v>111221</v>
      </c>
      <c r="M352" t="s">
        <v>568</v>
      </c>
    </row>
    <row r="353" spans="12:13" x14ac:dyDescent="0.25">
      <c r="L353" s="65">
        <v>111230</v>
      </c>
      <c r="M353" t="s">
        <v>569</v>
      </c>
    </row>
    <row r="354" spans="12:13" x14ac:dyDescent="0.25">
      <c r="L354" s="65">
        <v>111231</v>
      </c>
      <c r="M354" t="s">
        <v>569</v>
      </c>
    </row>
    <row r="355" spans="12:13" x14ac:dyDescent="0.25">
      <c r="L355" s="65">
        <v>111240</v>
      </c>
      <c r="M355" t="s">
        <v>570</v>
      </c>
    </row>
    <row r="356" spans="12:13" x14ac:dyDescent="0.25">
      <c r="L356" s="65">
        <v>111241</v>
      </c>
      <c r="M356" t="s">
        <v>570</v>
      </c>
    </row>
    <row r="357" spans="12:13" x14ac:dyDescent="0.25">
      <c r="L357" s="65">
        <v>111250</v>
      </c>
      <c r="M357" t="s">
        <v>571</v>
      </c>
    </row>
    <row r="358" spans="12:13" x14ac:dyDescent="0.25">
      <c r="L358" s="65">
        <v>111251</v>
      </c>
      <c r="M358" t="s">
        <v>572</v>
      </c>
    </row>
    <row r="359" spans="12:13" x14ac:dyDescent="0.25">
      <c r="L359" s="65">
        <v>111252</v>
      </c>
      <c r="M359" t="s">
        <v>573</v>
      </c>
    </row>
    <row r="360" spans="12:13" x14ac:dyDescent="0.25">
      <c r="L360" s="65">
        <v>111255</v>
      </c>
      <c r="M360" t="s">
        <v>574</v>
      </c>
    </row>
    <row r="361" spans="12:13" x14ac:dyDescent="0.25">
      <c r="L361" s="65">
        <v>111290</v>
      </c>
      <c r="M361" t="s">
        <v>575</v>
      </c>
    </row>
    <row r="362" spans="12:13" x14ac:dyDescent="0.25">
      <c r="L362" s="65">
        <v>111291</v>
      </c>
      <c r="M362" t="s">
        <v>576</v>
      </c>
    </row>
    <row r="363" spans="12:13" x14ac:dyDescent="0.25">
      <c r="L363" s="65">
        <v>111292</v>
      </c>
      <c r="M363" t="s">
        <v>577</v>
      </c>
    </row>
    <row r="364" spans="12:13" x14ac:dyDescent="0.25">
      <c r="L364" s="65">
        <v>111293</v>
      </c>
      <c r="M364" t="s">
        <v>578</v>
      </c>
    </row>
    <row r="365" spans="12:13" x14ac:dyDescent="0.25">
      <c r="L365" s="65">
        <v>111294</v>
      </c>
      <c r="M365" t="s">
        <v>579</v>
      </c>
    </row>
    <row r="366" spans="12:13" x14ac:dyDescent="0.25">
      <c r="L366" s="65">
        <v>111295</v>
      </c>
      <c r="M366" t="s">
        <v>580</v>
      </c>
    </row>
    <row r="367" spans="12:13" x14ac:dyDescent="0.25">
      <c r="L367" s="65">
        <v>111300</v>
      </c>
      <c r="M367" t="s">
        <v>581</v>
      </c>
    </row>
    <row r="368" spans="12:13" x14ac:dyDescent="0.25">
      <c r="L368" s="65">
        <v>111310</v>
      </c>
      <c r="M368" t="s">
        <v>582</v>
      </c>
    </row>
    <row r="369" spans="12:13" x14ac:dyDescent="0.25">
      <c r="L369" s="65">
        <v>111311</v>
      </c>
      <c r="M369" t="s">
        <v>582</v>
      </c>
    </row>
    <row r="370" spans="12:13" x14ac:dyDescent="0.25">
      <c r="L370" s="65">
        <v>111380</v>
      </c>
      <c r="M370" t="s">
        <v>583</v>
      </c>
    </row>
    <row r="371" spans="12:13" x14ac:dyDescent="0.25">
      <c r="L371" s="65">
        <v>111381</v>
      </c>
      <c r="M371" t="s">
        <v>583</v>
      </c>
    </row>
    <row r="372" spans="12:13" x14ac:dyDescent="0.25">
      <c r="L372" s="65">
        <v>111390</v>
      </c>
      <c r="M372" t="s">
        <v>584</v>
      </c>
    </row>
    <row r="373" spans="12:13" x14ac:dyDescent="0.25">
      <c r="L373" s="65">
        <v>111391</v>
      </c>
      <c r="M373" t="s">
        <v>585</v>
      </c>
    </row>
    <row r="374" spans="12:13" x14ac:dyDescent="0.25">
      <c r="L374" s="65">
        <v>111398</v>
      </c>
      <c r="M374" t="s">
        <v>586</v>
      </c>
    </row>
    <row r="375" spans="12:13" x14ac:dyDescent="0.25">
      <c r="L375" s="65">
        <v>111400</v>
      </c>
      <c r="M375" t="s">
        <v>587</v>
      </c>
    </row>
    <row r="376" spans="12:13" x14ac:dyDescent="0.25">
      <c r="L376" s="65">
        <v>111410</v>
      </c>
      <c r="M376" t="s">
        <v>588</v>
      </c>
    </row>
    <row r="377" spans="12:13" x14ac:dyDescent="0.25">
      <c r="L377" s="65">
        <v>111411</v>
      </c>
      <c r="M377" t="s">
        <v>588</v>
      </c>
    </row>
    <row r="378" spans="12:13" x14ac:dyDescent="0.25">
      <c r="L378" s="65">
        <v>111490</v>
      </c>
      <c r="M378" t="s">
        <v>589</v>
      </c>
    </row>
    <row r="379" spans="12:13" x14ac:dyDescent="0.25">
      <c r="L379" s="65">
        <v>111491</v>
      </c>
      <c r="M379" t="s">
        <v>589</v>
      </c>
    </row>
    <row r="380" spans="12:13" x14ac:dyDescent="0.25">
      <c r="L380" s="65">
        <v>111500</v>
      </c>
      <c r="M380" t="s">
        <v>590</v>
      </c>
    </row>
    <row r="381" spans="12:13" x14ac:dyDescent="0.25">
      <c r="L381" s="65">
        <v>111510</v>
      </c>
      <c r="M381" t="s">
        <v>590</v>
      </c>
    </row>
    <row r="382" spans="12:13" x14ac:dyDescent="0.25">
      <c r="L382" s="65">
        <v>111511</v>
      </c>
      <c r="M382" t="s">
        <v>590</v>
      </c>
    </row>
    <row r="383" spans="12:13" x14ac:dyDescent="0.25">
      <c r="L383" s="65">
        <v>111590</v>
      </c>
      <c r="M383" t="s">
        <v>591</v>
      </c>
    </row>
    <row r="384" spans="12:13" x14ac:dyDescent="0.25">
      <c r="L384" s="65">
        <v>111591</v>
      </c>
      <c r="M384" t="s">
        <v>591</v>
      </c>
    </row>
    <row r="385" spans="12:13" x14ac:dyDescent="0.25">
      <c r="L385" s="65">
        <v>111600</v>
      </c>
      <c r="M385" t="s">
        <v>592</v>
      </c>
    </row>
    <row r="386" spans="12:13" x14ac:dyDescent="0.25">
      <c r="L386" s="65">
        <v>111610</v>
      </c>
      <c r="M386" t="s">
        <v>592</v>
      </c>
    </row>
    <row r="387" spans="12:13" x14ac:dyDescent="0.25">
      <c r="L387" s="65">
        <v>111611</v>
      </c>
      <c r="M387" t="s">
        <v>593</v>
      </c>
    </row>
    <row r="388" spans="12:13" x14ac:dyDescent="0.25">
      <c r="L388" s="65">
        <v>111612</v>
      </c>
      <c r="M388" t="s">
        <v>594</v>
      </c>
    </row>
    <row r="389" spans="12:13" x14ac:dyDescent="0.25">
      <c r="L389" s="65">
        <v>111613</v>
      </c>
      <c r="M389" t="s">
        <v>595</v>
      </c>
    </row>
    <row r="390" spans="12:13" x14ac:dyDescent="0.25">
      <c r="L390" s="65">
        <v>111690</v>
      </c>
      <c r="M390" t="s">
        <v>596</v>
      </c>
    </row>
    <row r="391" spans="12:13" x14ac:dyDescent="0.25">
      <c r="L391" s="65">
        <v>111691</v>
      </c>
      <c r="M391" t="s">
        <v>596</v>
      </c>
    </row>
    <row r="392" spans="12:13" x14ac:dyDescent="0.25">
      <c r="L392" s="65">
        <v>111700</v>
      </c>
      <c r="M392" t="s">
        <v>597</v>
      </c>
    </row>
    <row r="393" spans="12:13" x14ac:dyDescent="0.25">
      <c r="L393" s="65">
        <v>111710</v>
      </c>
      <c r="M393" t="s">
        <v>598</v>
      </c>
    </row>
    <row r="394" spans="12:13" x14ac:dyDescent="0.25">
      <c r="L394" s="65">
        <v>111711</v>
      </c>
      <c r="M394" t="s">
        <v>598</v>
      </c>
    </row>
    <row r="395" spans="12:13" x14ac:dyDescent="0.25">
      <c r="L395" s="65">
        <v>111712</v>
      </c>
      <c r="M395" t="s">
        <v>599</v>
      </c>
    </row>
    <row r="396" spans="12:13" x14ac:dyDescent="0.25">
      <c r="L396" s="65">
        <v>111790</v>
      </c>
      <c r="M396" t="s">
        <v>600</v>
      </c>
    </row>
    <row r="397" spans="12:13" x14ac:dyDescent="0.25">
      <c r="L397" s="65">
        <v>111791</v>
      </c>
      <c r="M397" t="s">
        <v>600</v>
      </c>
    </row>
    <row r="398" spans="12:13" x14ac:dyDescent="0.25">
      <c r="L398" s="65">
        <v>111800</v>
      </c>
      <c r="M398" t="s">
        <v>601</v>
      </c>
    </row>
    <row r="399" spans="12:13" x14ac:dyDescent="0.25">
      <c r="L399" s="65">
        <v>111810</v>
      </c>
      <c r="M399" t="s">
        <v>601</v>
      </c>
    </row>
    <row r="400" spans="12:13" x14ac:dyDescent="0.25">
      <c r="L400" s="65">
        <v>111811</v>
      </c>
      <c r="M400" t="s">
        <v>601</v>
      </c>
    </row>
    <row r="401" spans="12:13" x14ac:dyDescent="0.25">
      <c r="L401" s="65">
        <v>111890</v>
      </c>
      <c r="M401" t="s">
        <v>602</v>
      </c>
    </row>
    <row r="402" spans="12:13" x14ac:dyDescent="0.25">
      <c r="L402" s="65">
        <v>111891</v>
      </c>
      <c r="M402" t="s">
        <v>602</v>
      </c>
    </row>
    <row r="403" spans="12:13" x14ac:dyDescent="0.25">
      <c r="L403" s="65">
        <v>111900</v>
      </c>
      <c r="M403" t="s">
        <v>603</v>
      </c>
    </row>
    <row r="404" spans="12:13" x14ac:dyDescent="0.25">
      <c r="L404" s="65">
        <v>111910</v>
      </c>
      <c r="M404" t="s">
        <v>604</v>
      </c>
    </row>
    <row r="405" spans="12:13" x14ac:dyDescent="0.25">
      <c r="L405" s="65">
        <v>111911</v>
      </c>
      <c r="M405" t="s">
        <v>604</v>
      </c>
    </row>
    <row r="406" spans="12:13" x14ac:dyDescent="0.25">
      <c r="L406" s="65">
        <v>111920</v>
      </c>
      <c r="M406" t="s">
        <v>605</v>
      </c>
    </row>
    <row r="407" spans="12:13" x14ac:dyDescent="0.25">
      <c r="L407" s="65">
        <v>111921</v>
      </c>
      <c r="M407" t="s">
        <v>606</v>
      </c>
    </row>
    <row r="408" spans="12:13" x14ac:dyDescent="0.25">
      <c r="L408" s="65">
        <v>111922</v>
      </c>
      <c r="M408" t="s">
        <v>607</v>
      </c>
    </row>
    <row r="409" spans="12:13" x14ac:dyDescent="0.25">
      <c r="L409" s="65">
        <v>111930</v>
      </c>
      <c r="M409" t="s">
        <v>608</v>
      </c>
    </row>
    <row r="410" spans="12:13" x14ac:dyDescent="0.25">
      <c r="L410" s="65">
        <v>111931</v>
      </c>
      <c r="M410" t="s">
        <v>608</v>
      </c>
    </row>
    <row r="411" spans="12:13" x14ac:dyDescent="0.25">
      <c r="L411" s="65">
        <v>111940</v>
      </c>
      <c r="M411" t="s">
        <v>609</v>
      </c>
    </row>
    <row r="412" spans="12:13" x14ac:dyDescent="0.25">
      <c r="L412" s="65">
        <v>111941</v>
      </c>
      <c r="M412" t="s">
        <v>609</v>
      </c>
    </row>
    <row r="413" spans="12:13" x14ac:dyDescent="0.25">
      <c r="L413" s="65">
        <v>111990</v>
      </c>
      <c r="M413" t="s">
        <v>610</v>
      </c>
    </row>
    <row r="414" spans="12:13" x14ac:dyDescent="0.25">
      <c r="L414" s="65">
        <v>111991</v>
      </c>
      <c r="M414" t="s">
        <v>611</v>
      </c>
    </row>
    <row r="415" spans="12:13" x14ac:dyDescent="0.25">
      <c r="L415" s="65">
        <v>111992</v>
      </c>
      <c r="M415" t="s">
        <v>612</v>
      </c>
    </row>
    <row r="416" spans="12:13" x14ac:dyDescent="0.25">
      <c r="L416" s="65">
        <v>111993</v>
      </c>
      <c r="M416" t="s">
        <v>613</v>
      </c>
    </row>
    <row r="417" spans="12:13" x14ac:dyDescent="0.25">
      <c r="L417" s="65">
        <v>111994</v>
      </c>
      <c r="M417" t="s">
        <v>614</v>
      </c>
    </row>
    <row r="418" spans="12:13" x14ac:dyDescent="0.25">
      <c r="L418" s="65">
        <v>112000</v>
      </c>
      <c r="M418" t="s">
        <v>615</v>
      </c>
    </row>
    <row r="419" spans="12:13" x14ac:dyDescent="0.25">
      <c r="L419" s="65">
        <v>112100</v>
      </c>
      <c r="M419" t="s">
        <v>616</v>
      </c>
    </row>
    <row r="420" spans="12:13" x14ac:dyDescent="0.25">
      <c r="L420" s="65">
        <v>112110</v>
      </c>
      <c r="M420" t="s">
        <v>616</v>
      </c>
    </row>
    <row r="421" spans="12:13" x14ac:dyDescent="0.25">
      <c r="L421" s="65">
        <v>112111</v>
      </c>
      <c r="M421" t="s">
        <v>616</v>
      </c>
    </row>
    <row r="422" spans="12:13" x14ac:dyDescent="0.25">
      <c r="L422" s="65">
        <v>112190</v>
      </c>
      <c r="M422" t="s">
        <v>617</v>
      </c>
    </row>
    <row r="423" spans="12:13" x14ac:dyDescent="0.25">
      <c r="L423" s="65">
        <v>112191</v>
      </c>
      <c r="M423" t="s">
        <v>617</v>
      </c>
    </row>
    <row r="424" spans="12:13" x14ac:dyDescent="0.25">
      <c r="L424" s="65">
        <v>112200</v>
      </c>
      <c r="M424" t="s">
        <v>618</v>
      </c>
    </row>
    <row r="425" spans="12:13" x14ac:dyDescent="0.25">
      <c r="L425" s="65">
        <v>112210</v>
      </c>
      <c r="M425" t="s">
        <v>618</v>
      </c>
    </row>
    <row r="426" spans="12:13" x14ac:dyDescent="0.25">
      <c r="L426" s="65">
        <v>112211</v>
      </c>
      <c r="M426" t="s">
        <v>618</v>
      </c>
    </row>
    <row r="427" spans="12:13" x14ac:dyDescent="0.25">
      <c r="L427" s="65">
        <v>112290</v>
      </c>
      <c r="M427" t="s">
        <v>619</v>
      </c>
    </row>
    <row r="428" spans="12:13" x14ac:dyDescent="0.25">
      <c r="L428" s="65">
        <v>112291</v>
      </c>
      <c r="M428" t="s">
        <v>619</v>
      </c>
    </row>
    <row r="429" spans="12:13" x14ac:dyDescent="0.25">
      <c r="L429" s="65">
        <v>112300</v>
      </c>
      <c r="M429" t="s">
        <v>620</v>
      </c>
    </row>
    <row r="430" spans="12:13" x14ac:dyDescent="0.25">
      <c r="L430" s="65">
        <v>112310</v>
      </c>
      <c r="M430" t="s">
        <v>620</v>
      </c>
    </row>
    <row r="431" spans="12:13" x14ac:dyDescent="0.25">
      <c r="L431" s="65">
        <v>112311</v>
      </c>
      <c r="M431" t="s">
        <v>620</v>
      </c>
    </row>
    <row r="432" spans="12:13" x14ac:dyDescent="0.25">
      <c r="L432" s="65">
        <v>112390</v>
      </c>
      <c r="M432" t="s">
        <v>621</v>
      </c>
    </row>
    <row r="433" spans="12:13" x14ac:dyDescent="0.25">
      <c r="L433" s="65">
        <v>112391</v>
      </c>
      <c r="M433" t="s">
        <v>621</v>
      </c>
    </row>
    <row r="434" spans="12:13" x14ac:dyDescent="0.25">
      <c r="L434" s="65">
        <v>112400</v>
      </c>
      <c r="M434" t="s">
        <v>622</v>
      </c>
    </row>
    <row r="435" spans="12:13" x14ac:dyDescent="0.25">
      <c r="L435" s="65">
        <v>112410</v>
      </c>
      <c r="M435" t="s">
        <v>622</v>
      </c>
    </row>
    <row r="436" spans="12:13" x14ac:dyDescent="0.25">
      <c r="L436" s="65">
        <v>112411</v>
      </c>
      <c r="M436" t="s">
        <v>622</v>
      </c>
    </row>
    <row r="437" spans="12:13" x14ac:dyDescent="0.25">
      <c r="L437" s="65">
        <v>112490</v>
      </c>
      <c r="M437" t="s">
        <v>623</v>
      </c>
    </row>
    <row r="438" spans="12:13" x14ac:dyDescent="0.25">
      <c r="L438" s="65">
        <v>112491</v>
      </c>
      <c r="M438" t="s">
        <v>623</v>
      </c>
    </row>
    <row r="439" spans="12:13" x14ac:dyDescent="0.25">
      <c r="L439" s="65">
        <v>112500</v>
      </c>
      <c r="M439" t="s">
        <v>624</v>
      </c>
    </row>
    <row r="440" spans="12:13" x14ac:dyDescent="0.25">
      <c r="L440" s="65">
        <v>112510</v>
      </c>
      <c r="M440" t="s">
        <v>624</v>
      </c>
    </row>
    <row r="441" spans="12:13" x14ac:dyDescent="0.25">
      <c r="L441" s="65">
        <v>112511</v>
      </c>
      <c r="M441" t="s">
        <v>624</v>
      </c>
    </row>
    <row r="442" spans="12:13" x14ac:dyDescent="0.25">
      <c r="L442" s="65">
        <v>112590</v>
      </c>
      <c r="M442" t="s">
        <v>625</v>
      </c>
    </row>
    <row r="443" spans="12:13" x14ac:dyDescent="0.25">
      <c r="L443" s="65">
        <v>112591</v>
      </c>
      <c r="M443" t="s">
        <v>625</v>
      </c>
    </row>
    <row r="444" spans="12:13" x14ac:dyDescent="0.25">
      <c r="L444" s="65">
        <v>112600</v>
      </c>
      <c r="M444" t="s">
        <v>626</v>
      </c>
    </row>
    <row r="445" spans="12:13" x14ac:dyDescent="0.25">
      <c r="L445" s="65">
        <v>112610</v>
      </c>
      <c r="M445" t="s">
        <v>626</v>
      </c>
    </row>
    <row r="446" spans="12:13" x14ac:dyDescent="0.25">
      <c r="L446" s="65">
        <v>112611</v>
      </c>
      <c r="M446" t="s">
        <v>627</v>
      </c>
    </row>
    <row r="447" spans="12:13" x14ac:dyDescent="0.25">
      <c r="L447" s="65">
        <v>112612</v>
      </c>
      <c r="M447" t="s">
        <v>628</v>
      </c>
    </row>
    <row r="448" spans="12:13" x14ac:dyDescent="0.25">
      <c r="L448" s="65">
        <v>112690</v>
      </c>
      <c r="M448" t="s">
        <v>629</v>
      </c>
    </row>
    <row r="449" spans="12:13" x14ac:dyDescent="0.25">
      <c r="L449" s="65">
        <v>112691</v>
      </c>
      <c r="M449" t="s">
        <v>629</v>
      </c>
    </row>
    <row r="450" spans="12:13" x14ac:dyDescent="0.25">
      <c r="L450" s="65">
        <v>112700</v>
      </c>
      <c r="M450" t="s">
        <v>630</v>
      </c>
    </row>
    <row r="451" spans="12:13" x14ac:dyDescent="0.25">
      <c r="L451" s="65">
        <v>112710</v>
      </c>
      <c r="M451" t="s">
        <v>631</v>
      </c>
    </row>
    <row r="452" spans="12:13" x14ac:dyDescent="0.25">
      <c r="L452" s="65">
        <v>112711</v>
      </c>
      <c r="M452" t="s">
        <v>631</v>
      </c>
    </row>
    <row r="453" spans="12:13" x14ac:dyDescent="0.25">
      <c r="L453" s="65">
        <v>112720</v>
      </c>
      <c r="M453" t="s">
        <v>632</v>
      </c>
    </row>
    <row r="454" spans="12:13" x14ac:dyDescent="0.25">
      <c r="L454" s="65">
        <v>112721</v>
      </c>
      <c r="M454" t="s">
        <v>632</v>
      </c>
    </row>
    <row r="455" spans="12:13" x14ac:dyDescent="0.25">
      <c r="L455" s="65">
        <v>112790</v>
      </c>
      <c r="M455" t="s">
        <v>633</v>
      </c>
    </row>
    <row r="456" spans="12:13" x14ac:dyDescent="0.25">
      <c r="L456" s="65">
        <v>112791</v>
      </c>
      <c r="M456" t="s">
        <v>634</v>
      </c>
    </row>
    <row r="457" spans="12:13" x14ac:dyDescent="0.25">
      <c r="L457" s="65">
        <v>112792</v>
      </c>
      <c r="M457" t="s">
        <v>635</v>
      </c>
    </row>
    <row r="458" spans="12:13" x14ac:dyDescent="0.25">
      <c r="L458" s="65">
        <v>112800</v>
      </c>
      <c r="M458" t="s">
        <v>636</v>
      </c>
    </row>
    <row r="459" spans="12:13" x14ac:dyDescent="0.25">
      <c r="L459" s="65">
        <v>112810</v>
      </c>
      <c r="M459" t="s">
        <v>636</v>
      </c>
    </row>
    <row r="460" spans="12:13" x14ac:dyDescent="0.25">
      <c r="L460" s="65">
        <v>112811</v>
      </c>
      <c r="M460" t="s">
        <v>636</v>
      </c>
    </row>
    <row r="461" spans="12:13" x14ac:dyDescent="0.25">
      <c r="L461" s="65">
        <v>120000</v>
      </c>
      <c r="M461" t="s">
        <v>637</v>
      </c>
    </row>
    <row r="462" spans="12:13" x14ac:dyDescent="0.25">
      <c r="L462" s="65">
        <v>121000</v>
      </c>
      <c r="M462" t="s">
        <v>638</v>
      </c>
    </row>
    <row r="463" spans="12:13" x14ac:dyDescent="0.25">
      <c r="L463" s="65">
        <v>121100</v>
      </c>
      <c r="M463" t="s">
        <v>639</v>
      </c>
    </row>
    <row r="464" spans="12:13" x14ac:dyDescent="0.25">
      <c r="L464" s="65">
        <v>121110</v>
      </c>
      <c r="M464" t="s">
        <v>639</v>
      </c>
    </row>
    <row r="465" spans="12:13" x14ac:dyDescent="0.25">
      <c r="L465" s="65">
        <v>121111</v>
      </c>
      <c r="M465" t="s">
        <v>640</v>
      </c>
    </row>
    <row r="466" spans="12:13" x14ac:dyDescent="0.25">
      <c r="L466" s="65">
        <v>121112</v>
      </c>
      <c r="M466" t="s">
        <v>641</v>
      </c>
    </row>
    <row r="467" spans="12:13" x14ac:dyDescent="0.25">
      <c r="L467" s="65">
        <v>121113</v>
      </c>
      <c r="M467" t="s">
        <v>642</v>
      </c>
    </row>
    <row r="468" spans="12:13" x14ac:dyDescent="0.25">
      <c r="L468" s="65">
        <v>121200</v>
      </c>
      <c r="M468" t="s">
        <v>643</v>
      </c>
    </row>
    <row r="469" spans="12:13" x14ac:dyDescent="0.25">
      <c r="L469" s="65">
        <v>121210</v>
      </c>
      <c r="M469" t="s">
        <v>643</v>
      </c>
    </row>
    <row r="470" spans="12:13" x14ac:dyDescent="0.25">
      <c r="L470" s="65">
        <v>121211</v>
      </c>
      <c r="M470" t="s">
        <v>644</v>
      </c>
    </row>
    <row r="471" spans="12:13" x14ac:dyDescent="0.25">
      <c r="L471" s="65">
        <v>121212</v>
      </c>
      <c r="M471" t="s">
        <v>645</v>
      </c>
    </row>
    <row r="472" spans="12:13" x14ac:dyDescent="0.25">
      <c r="L472" s="65">
        <v>121213</v>
      </c>
      <c r="M472" t="s">
        <v>646</v>
      </c>
    </row>
    <row r="473" spans="12:13" x14ac:dyDescent="0.25">
      <c r="L473" s="65">
        <v>121214</v>
      </c>
      <c r="M473" t="s">
        <v>647</v>
      </c>
    </row>
    <row r="474" spans="12:13" x14ac:dyDescent="0.25">
      <c r="L474" s="65">
        <v>121215</v>
      </c>
      <c r="M474" t="s">
        <v>648</v>
      </c>
    </row>
    <row r="475" spans="12:13" x14ac:dyDescent="0.25">
      <c r="L475" s="65">
        <v>121216</v>
      </c>
      <c r="M475" t="s">
        <v>649</v>
      </c>
    </row>
    <row r="476" spans="12:13" x14ac:dyDescent="0.25">
      <c r="L476" s="65">
        <v>121217</v>
      </c>
      <c r="M476" t="s">
        <v>650</v>
      </c>
    </row>
    <row r="477" spans="12:13" x14ac:dyDescent="0.25">
      <c r="L477" s="65">
        <v>121218</v>
      </c>
      <c r="M477" t="s">
        <v>651</v>
      </c>
    </row>
    <row r="478" spans="12:13" x14ac:dyDescent="0.25">
      <c r="L478" s="65">
        <v>121219</v>
      </c>
      <c r="M478" t="s">
        <v>652</v>
      </c>
    </row>
    <row r="479" spans="12:13" x14ac:dyDescent="0.25">
      <c r="L479" s="65">
        <v>121300</v>
      </c>
      <c r="M479" t="s">
        <v>653</v>
      </c>
    </row>
    <row r="480" spans="12:13" x14ac:dyDescent="0.25">
      <c r="L480" s="65">
        <v>121310</v>
      </c>
      <c r="M480" t="s">
        <v>653</v>
      </c>
    </row>
    <row r="481" spans="12:13" x14ac:dyDescent="0.25">
      <c r="L481" s="65">
        <v>121311</v>
      </c>
      <c r="M481" t="s">
        <v>654</v>
      </c>
    </row>
    <row r="482" spans="12:13" x14ac:dyDescent="0.25">
      <c r="L482" s="65">
        <v>121312</v>
      </c>
      <c r="M482" t="s">
        <v>655</v>
      </c>
    </row>
    <row r="483" spans="12:13" x14ac:dyDescent="0.25">
      <c r="L483" s="65">
        <v>121313</v>
      </c>
      <c r="M483" t="s">
        <v>656</v>
      </c>
    </row>
    <row r="484" spans="12:13" x14ac:dyDescent="0.25">
      <c r="L484" s="65">
        <v>121314</v>
      </c>
      <c r="M484" t="s">
        <v>657</v>
      </c>
    </row>
    <row r="485" spans="12:13" x14ac:dyDescent="0.25">
      <c r="L485" s="65">
        <v>121315</v>
      </c>
      <c r="M485" t="s">
        <v>658</v>
      </c>
    </row>
    <row r="486" spans="12:13" x14ac:dyDescent="0.25">
      <c r="L486" s="65">
        <v>121319</v>
      </c>
      <c r="M486" t="s">
        <v>659</v>
      </c>
    </row>
    <row r="487" spans="12:13" x14ac:dyDescent="0.25">
      <c r="L487" s="65">
        <v>121400</v>
      </c>
      <c r="M487" t="s">
        <v>660</v>
      </c>
    </row>
    <row r="488" spans="12:13" x14ac:dyDescent="0.25">
      <c r="L488" s="65">
        <v>121410</v>
      </c>
      <c r="M488" t="s">
        <v>660</v>
      </c>
    </row>
    <row r="489" spans="12:13" x14ac:dyDescent="0.25">
      <c r="L489" s="65">
        <v>121411</v>
      </c>
      <c r="M489" t="s">
        <v>661</v>
      </c>
    </row>
    <row r="490" spans="12:13" x14ac:dyDescent="0.25">
      <c r="L490" s="65">
        <v>121412</v>
      </c>
      <c r="M490" t="s">
        <v>662</v>
      </c>
    </row>
    <row r="491" spans="12:13" x14ac:dyDescent="0.25">
      <c r="L491" s="65">
        <v>121413</v>
      </c>
      <c r="M491" t="s">
        <v>663</v>
      </c>
    </row>
    <row r="492" spans="12:13" x14ac:dyDescent="0.25">
      <c r="L492" s="65">
        <v>121414</v>
      </c>
      <c r="M492" t="s">
        <v>664</v>
      </c>
    </row>
    <row r="493" spans="12:13" x14ac:dyDescent="0.25">
      <c r="L493" s="65">
        <v>121418</v>
      </c>
      <c r="M493" t="s">
        <v>665</v>
      </c>
    </row>
    <row r="494" spans="12:13" x14ac:dyDescent="0.25">
      <c r="L494" s="65">
        <v>121419</v>
      </c>
      <c r="M494" t="s">
        <v>666</v>
      </c>
    </row>
    <row r="495" spans="12:13" x14ac:dyDescent="0.25">
      <c r="L495" s="65">
        <v>121500</v>
      </c>
      <c r="M495" t="s">
        <v>667</v>
      </c>
    </row>
    <row r="496" spans="12:13" x14ac:dyDescent="0.25">
      <c r="L496" s="65">
        <v>121510</v>
      </c>
      <c r="M496" t="s">
        <v>667</v>
      </c>
    </row>
    <row r="497" spans="12:13" x14ac:dyDescent="0.25">
      <c r="L497" s="65">
        <v>121511</v>
      </c>
      <c r="M497" t="s">
        <v>668</v>
      </c>
    </row>
    <row r="498" spans="12:13" x14ac:dyDescent="0.25">
      <c r="L498" s="65">
        <v>121512</v>
      </c>
      <c r="M498" t="s">
        <v>669</v>
      </c>
    </row>
    <row r="499" spans="12:13" x14ac:dyDescent="0.25">
      <c r="L499" s="65">
        <v>121513</v>
      </c>
      <c r="M499" t="s">
        <v>670</v>
      </c>
    </row>
    <row r="500" spans="12:13" x14ac:dyDescent="0.25">
      <c r="L500" s="65">
        <v>121518</v>
      </c>
      <c r="M500" t="s">
        <v>671</v>
      </c>
    </row>
    <row r="501" spans="12:13" x14ac:dyDescent="0.25">
      <c r="L501" s="65">
        <v>121600</v>
      </c>
      <c r="M501" t="s">
        <v>672</v>
      </c>
    </row>
    <row r="502" spans="12:13" x14ac:dyDescent="0.25">
      <c r="L502" s="65">
        <v>121610</v>
      </c>
      <c r="M502" t="s">
        <v>672</v>
      </c>
    </row>
    <row r="503" spans="12:13" x14ac:dyDescent="0.25">
      <c r="L503" s="65">
        <v>121611</v>
      </c>
      <c r="M503" t="s">
        <v>673</v>
      </c>
    </row>
    <row r="504" spans="12:13" x14ac:dyDescent="0.25">
      <c r="L504" s="65">
        <v>121612</v>
      </c>
      <c r="M504" t="s">
        <v>674</v>
      </c>
    </row>
    <row r="505" spans="12:13" x14ac:dyDescent="0.25">
      <c r="L505" s="65">
        <v>121618</v>
      </c>
      <c r="M505" t="s">
        <v>675</v>
      </c>
    </row>
    <row r="506" spans="12:13" x14ac:dyDescent="0.25">
      <c r="L506" s="65">
        <v>121619</v>
      </c>
      <c r="M506" t="s">
        <v>676</v>
      </c>
    </row>
    <row r="507" spans="12:13" x14ac:dyDescent="0.25">
      <c r="L507" s="65">
        <v>121700</v>
      </c>
      <c r="M507" t="s">
        <v>677</v>
      </c>
    </row>
    <row r="508" spans="12:13" x14ac:dyDescent="0.25">
      <c r="L508" s="65">
        <v>121710</v>
      </c>
      <c r="M508" t="s">
        <v>677</v>
      </c>
    </row>
    <row r="509" spans="12:13" x14ac:dyDescent="0.25">
      <c r="L509" s="65">
        <v>121711</v>
      </c>
      <c r="M509" t="s">
        <v>678</v>
      </c>
    </row>
    <row r="510" spans="12:13" x14ac:dyDescent="0.25">
      <c r="L510" s="65">
        <v>121712</v>
      </c>
      <c r="M510" t="s">
        <v>679</v>
      </c>
    </row>
    <row r="511" spans="12:13" x14ac:dyDescent="0.25">
      <c r="L511" s="65">
        <v>121713</v>
      </c>
      <c r="M511" t="s">
        <v>680</v>
      </c>
    </row>
    <row r="512" spans="12:13" x14ac:dyDescent="0.25">
      <c r="L512" s="65">
        <v>121714</v>
      </c>
      <c r="M512" t="s">
        <v>681</v>
      </c>
    </row>
    <row r="513" spans="12:13" x14ac:dyDescent="0.25">
      <c r="L513" s="65">
        <v>121715</v>
      </c>
      <c r="M513" t="s">
        <v>682</v>
      </c>
    </row>
    <row r="514" spans="12:13" x14ac:dyDescent="0.25">
      <c r="L514" s="65">
        <v>121716</v>
      </c>
      <c r="M514" t="s">
        <v>683</v>
      </c>
    </row>
    <row r="515" spans="12:13" x14ac:dyDescent="0.25">
      <c r="L515" s="65">
        <v>121717</v>
      </c>
      <c r="M515" t="s">
        <v>684</v>
      </c>
    </row>
    <row r="516" spans="12:13" x14ac:dyDescent="0.25">
      <c r="L516" s="65">
        <v>121718</v>
      </c>
      <c r="M516" t="s">
        <v>685</v>
      </c>
    </row>
    <row r="517" spans="12:13" x14ac:dyDescent="0.25">
      <c r="L517" s="65">
        <v>121719</v>
      </c>
      <c r="M517" t="s">
        <v>677</v>
      </c>
    </row>
    <row r="518" spans="12:13" x14ac:dyDescent="0.25">
      <c r="L518" s="65">
        <v>121800</v>
      </c>
      <c r="M518" t="s">
        <v>686</v>
      </c>
    </row>
    <row r="519" spans="12:13" x14ac:dyDescent="0.25">
      <c r="L519" s="65">
        <v>121810</v>
      </c>
      <c r="M519" t="s">
        <v>686</v>
      </c>
    </row>
    <row r="520" spans="12:13" x14ac:dyDescent="0.25">
      <c r="L520" s="65">
        <v>121811</v>
      </c>
      <c r="M520" t="s">
        <v>687</v>
      </c>
    </row>
    <row r="521" spans="12:13" x14ac:dyDescent="0.25">
      <c r="L521" s="65">
        <v>121812</v>
      </c>
      <c r="M521" t="s">
        <v>688</v>
      </c>
    </row>
    <row r="522" spans="12:13" x14ac:dyDescent="0.25">
      <c r="L522" s="65">
        <v>121900</v>
      </c>
      <c r="M522" t="s">
        <v>689</v>
      </c>
    </row>
    <row r="523" spans="12:13" x14ac:dyDescent="0.25">
      <c r="L523" s="65">
        <v>121910</v>
      </c>
      <c r="M523" t="s">
        <v>690</v>
      </c>
    </row>
    <row r="524" spans="12:13" x14ac:dyDescent="0.25">
      <c r="L524" s="65">
        <v>121911</v>
      </c>
      <c r="M524" t="s">
        <v>691</v>
      </c>
    </row>
    <row r="525" spans="12:13" x14ac:dyDescent="0.25">
      <c r="L525" s="65">
        <v>121912</v>
      </c>
      <c r="M525" t="s">
        <v>692</v>
      </c>
    </row>
    <row r="526" spans="12:13" x14ac:dyDescent="0.25">
      <c r="L526" s="65">
        <v>121913</v>
      </c>
      <c r="M526" t="s">
        <v>693</v>
      </c>
    </row>
    <row r="527" spans="12:13" x14ac:dyDescent="0.25">
      <c r="L527" s="65">
        <v>121914</v>
      </c>
      <c r="M527" t="s">
        <v>694</v>
      </c>
    </row>
    <row r="528" spans="12:13" x14ac:dyDescent="0.25">
      <c r="L528" s="65">
        <v>121915</v>
      </c>
      <c r="M528" t="s">
        <v>695</v>
      </c>
    </row>
    <row r="529" spans="12:13" x14ac:dyDescent="0.25">
      <c r="L529" s="65">
        <v>121916</v>
      </c>
      <c r="M529" t="s">
        <v>696</v>
      </c>
    </row>
    <row r="530" spans="12:13" x14ac:dyDescent="0.25">
      <c r="L530" s="65">
        <v>121917</v>
      </c>
      <c r="M530" t="s">
        <v>697</v>
      </c>
    </row>
    <row r="531" spans="12:13" x14ac:dyDescent="0.25">
      <c r="L531" s="65">
        <v>121920</v>
      </c>
      <c r="M531" t="s">
        <v>698</v>
      </c>
    </row>
    <row r="532" spans="12:13" x14ac:dyDescent="0.25">
      <c r="L532" s="65">
        <v>121921</v>
      </c>
      <c r="M532" t="s">
        <v>699</v>
      </c>
    </row>
    <row r="533" spans="12:13" x14ac:dyDescent="0.25">
      <c r="L533" s="65">
        <v>121922</v>
      </c>
      <c r="M533" t="s">
        <v>700</v>
      </c>
    </row>
    <row r="534" spans="12:13" x14ac:dyDescent="0.25">
      <c r="L534" s="65">
        <v>121990</v>
      </c>
      <c r="M534" t="s">
        <v>701</v>
      </c>
    </row>
    <row r="535" spans="12:13" x14ac:dyDescent="0.25">
      <c r="L535" s="65">
        <v>121991</v>
      </c>
      <c r="M535" t="s">
        <v>702</v>
      </c>
    </row>
    <row r="536" spans="12:13" x14ac:dyDescent="0.25">
      <c r="L536" s="65">
        <v>121992</v>
      </c>
      <c r="M536" t="s">
        <v>703</v>
      </c>
    </row>
    <row r="537" spans="12:13" x14ac:dyDescent="0.25">
      <c r="L537" s="65">
        <v>122000</v>
      </c>
      <c r="M537" t="s">
        <v>704</v>
      </c>
    </row>
    <row r="538" spans="12:13" x14ac:dyDescent="0.25">
      <c r="L538" s="65">
        <v>122100</v>
      </c>
      <c r="M538" t="s">
        <v>705</v>
      </c>
    </row>
    <row r="539" spans="12:13" x14ac:dyDescent="0.25">
      <c r="L539" s="65">
        <v>122110</v>
      </c>
      <c r="M539" t="s">
        <v>706</v>
      </c>
    </row>
    <row r="540" spans="12:13" x14ac:dyDescent="0.25">
      <c r="L540" s="65">
        <v>122111</v>
      </c>
      <c r="M540" t="s">
        <v>707</v>
      </c>
    </row>
    <row r="541" spans="12:13" x14ac:dyDescent="0.25">
      <c r="L541" s="65">
        <v>122112</v>
      </c>
      <c r="M541" t="s">
        <v>708</v>
      </c>
    </row>
    <row r="542" spans="12:13" x14ac:dyDescent="0.25">
      <c r="L542" s="65">
        <v>122113</v>
      </c>
      <c r="M542" t="s">
        <v>709</v>
      </c>
    </row>
    <row r="543" spans="12:13" x14ac:dyDescent="0.25">
      <c r="L543" s="65">
        <v>122119</v>
      </c>
      <c r="M543" t="s">
        <v>710</v>
      </c>
    </row>
    <row r="544" spans="12:13" x14ac:dyDescent="0.25">
      <c r="L544" s="65">
        <v>122120</v>
      </c>
      <c r="M544" t="s">
        <v>711</v>
      </c>
    </row>
    <row r="545" spans="12:13" x14ac:dyDescent="0.25">
      <c r="L545" s="65">
        <v>122121</v>
      </c>
      <c r="M545" t="s">
        <v>707</v>
      </c>
    </row>
    <row r="546" spans="12:13" x14ac:dyDescent="0.25">
      <c r="L546" s="65">
        <v>122122</v>
      </c>
      <c r="M546" t="s">
        <v>709</v>
      </c>
    </row>
    <row r="547" spans="12:13" x14ac:dyDescent="0.25">
      <c r="L547" s="65">
        <v>122129</v>
      </c>
      <c r="M547" t="s">
        <v>712</v>
      </c>
    </row>
    <row r="548" spans="12:13" x14ac:dyDescent="0.25">
      <c r="L548" s="65">
        <v>122130</v>
      </c>
      <c r="M548" t="s">
        <v>713</v>
      </c>
    </row>
    <row r="549" spans="12:13" x14ac:dyDescent="0.25">
      <c r="L549" s="65">
        <v>122131</v>
      </c>
      <c r="M549" t="s">
        <v>714</v>
      </c>
    </row>
    <row r="550" spans="12:13" x14ac:dyDescent="0.25">
      <c r="L550" s="65">
        <v>122132</v>
      </c>
      <c r="M550" t="s">
        <v>715</v>
      </c>
    </row>
    <row r="551" spans="12:13" x14ac:dyDescent="0.25">
      <c r="L551" s="65">
        <v>122133</v>
      </c>
      <c r="M551" t="s">
        <v>716</v>
      </c>
    </row>
    <row r="552" spans="12:13" x14ac:dyDescent="0.25">
      <c r="L552" s="65">
        <v>122139</v>
      </c>
      <c r="M552" t="s">
        <v>717</v>
      </c>
    </row>
    <row r="553" spans="12:13" x14ac:dyDescent="0.25">
      <c r="L553" s="65">
        <v>122140</v>
      </c>
      <c r="M553" t="s">
        <v>718</v>
      </c>
    </row>
    <row r="554" spans="12:13" x14ac:dyDescent="0.25">
      <c r="L554" s="65">
        <v>122141</v>
      </c>
      <c r="M554" t="s">
        <v>719</v>
      </c>
    </row>
    <row r="555" spans="12:13" x14ac:dyDescent="0.25">
      <c r="L555" s="65">
        <v>122142</v>
      </c>
      <c r="M555" t="s">
        <v>720</v>
      </c>
    </row>
    <row r="556" spans="12:13" x14ac:dyDescent="0.25">
      <c r="L556" s="65">
        <v>122143</v>
      </c>
      <c r="M556" t="s">
        <v>721</v>
      </c>
    </row>
    <row r="557" spans="12:13" x14ac:dyDescent="0.25">
      <c r="L557" s="65">
        <v>122144</v>
      </c>
      <c r="M557" t="s">
        <v>722</v>
      </c>
    </row>
    <row r="558" spans="12:13" x14ac:dyDescent="0.25">
      <c r="L558" s="65">
        <v>122145</v>
      </c>
      <c r="M558" t="s">
        <v>723</v>
      </c>
    </row>
    <row r="559" spans="12:13" x14ac:dyDescent="0.25">
      <c r="L559" s="65">
        <v>122146</v>
      </c>
      <c r="M559" t="s">
        <v>724</v>
      </c>
    </row>
    <row r="560" spans="12:13" x14ac:dyDescent="0.25">
      <c r="L560" s="65">
        <v>122147</v>
      </c>
      <c r="M560" t="s">
        <v>725</v>
      </c>
    </row>
    <row r="561" spans="12:13" x14ac:dyDescent="0.25">
      <c r="L561" s="65">
        <v>122148</v>
      </c>
      <c r="M561" t="s">
        <v>726</v>
      </c>
    </row>
    <row r="562" spans="12:13" x14ac:dyDescent="0.25">
      <c r="L562" s="65">
        <v>122149</v>
      </c>
      <c r="M562" t="s">
        <v>727</v>
      </c>
    </row>
    <row r="563" spans="12:13" x14ac:dyDescent="0.25">
      <c r="L563" s="65">
        <v>122150</v>
      </c>
      <c r="M563" t="s">
        <v>728</v>
      </c>
    </row>
    <row r="564" spans="12:13" x14ac:dyDescent="0.25">
      <c r="L564" s="65">
        <v>122151</v>
      </c>
      <c r="M564" t="s">
        <v>729</v>
      </c>
    </row>
    <row r="565" spans="12:13" x14ac:dyDescent="0.25">
      <c r="L565" s="65">
        <v>122152</v>
      </c>
      <c r="M565" t="s">
        <v>730</v>
      </c>
    </row>
    <row r="566" spans="12:13" x14ac:dyDescent="0.25">
      <c r="L566" s="65">
        <v>122153</v>
      </c>
      <c r="M566" t="s">
        <v>731</v>
      </c>
    </row>
    <row r="567" spans="12:13" x14ac:dyDescent="0.25">
      <c r="L567" s="65">
        <v>122154</v>
      </c>
      <c r="M567" t="s">
        <v>732</v>
      </c>
    </row>
    <row r="568" spans="12:13" x14ac:dyDescent="0.25">
      <c r="L568" s="65">
        <v>122155</v>
      </c>
      <c r="M568" t="s">
        <v>733</v>
      </c>
    </row>
    <row r="569" spans="12:13" x14ac:dyDescent="0.25">
      <c r="L569" s="65">
        <v>122156</v>
      </c>
      <c r="M569" t="s">
        <v>734</v>
      </c>
    </row>
    <row r="570" spans="12:13" x14ac:dyDescent="0.25">
      <c r="L570" s="65">
        <v>122157</v>
      </c>
      <c r="M570" t="s">
        <v>735</v>
      </c>
    </row>
    <row r="571" spans="12:13" x14ac:dyDescent="0.25">
      <c r="L571" s="65">
        <v>122159</v>
      </c>
      <c r="M571" t="s">
        <v>736</v>
      </c>
    </row>
    <row r="572" spans="12:13" x14ac:dyDescent="0.25">
      <c r="L572" s="65">
        <v>122160</v>
      </c>
      <c r="M572" t="s">
        <v>737</v>
      </c>
    </row>
    <row r="573" spans="12:13" x14ac:dyDescent="0.25">
      <c r="L573" s="65">
        <v>122161</v>
      </c>
      <c r="M573" t="s">
        <v>738</v>
      </c>
    </row>
    <row r="574" spans="12:13" x14ac:dyDescent="0.25">
      <c r="L574" s="65">
        <v>122162</v>
      </c>
      <c r="M574" t="s">
        <v>739</v>
      </c>
    </row>
    <row r="575" spans="12:13" x14ac:dyDescent="0.25">
      <c r="L575" s="65">
        <v>122163</v>
      </c>
      <c r="M575" t="s">
        <v>740</v>
      </c>
    </row>
    <row r="576" spans="12:13" x14ac:dyDescent="0.25">
      <c r="L576" s="65">
        <v>122164</v>
      </c>
      <c r="M576" t="s">
        <v>741</v>
      </c>
    </row>
    <row r="577" spans="12:13" x14ac:dyDescent="0.25">
      <c r="L577" s="65">
        <v>122165</v>
      </c>
      <c r="M577" t="s">
        <v>742</v>
      </c>
    </row>
    <row r="578" spans="12:13" x14ac:dyDescent="0.25">
      <c r="L578" s="65">
        <v>122169</v>
      </c>
      <c r="M578" t="s">
        <v>743</v>
      </c>
    </row>
    <row r="579" spans="12:13" x14ac:dyDescent="0.25">
      <c r="L579" s="65">
        <v>122190</v>
      </c>
      <c r="M579" t="s">
        <v>744</v>
      </c>
    </row>
    <row r="580" spans="12:13" x14ac:dyDescent="0.25">
      <c r="L580" s="65">
        <v>122191</v>
      </c>
      <c r="M580" t="s">
        <v>745</v>
      </c>
    </row>
    <row r="581" spans="12:13" x14ac:dyDescent="0.25">
      <c r="L581" s="65">
        <v>122192</v>
      </c>
      <c r="M581" t="s">
        <v>746</v>
      </c>
    </row>
    <row r="582" spans="12:13" x14ac:dyDescent="0.25">
      <c r="L582" s="65">
        <v>122193</v>
      </c>
      <c r="M582" t="s">
        <v>747</v>
      </c>
    </row>
    <row r="583" spans="12:13" x14ac:dyDescent="0.25">
      <c r="L583" s="65">
        <v>122194</v>
      </c>
      <c r="M583" t="s">
        <v>748</v>
      </c>
    </row>
    <row r="584" spans="12:13" x14ac:dyDescent="0.25">
      <c r="L584" s="65">
        <v>122195</v>
      </c>
      <c r="M584" t="s">
        <v>749</v>
      </c>
    </row>
    <row r="585" spans="12:13" x14ac:dyDescent="0.25">
      <c r="L585" s="65">
        <v>122196</v>
      </c>
      <c r="M585" t="s">
        <v>750</v>
      </c>
    </row>
    <row r="586" spans="12:13" x14ac:dyDescent="0.25">
      <c r="L586" s="65">
        <v>122197</v>
      </c>
      <c r="M586" t="s">
        <v>735</v>
      </c>
    </row>
    <row r="587" spans="12:13" x14ac:dyDescent="0.25">
      <c r="L587" s="65">
        <v>122198</v>
      </c>
      <c r="M587" t="s">
        <v>751</v>
      </c>
    </row>
    <row r="588" spans="12:13" x14ac:dyDescent="0.25">
      <c r="L588" s="65">
        <v>122199</v>
      </c>
      <c r="M588" t="s">
        <v>752</v>
      </c>
    </row>
    <row r="589" spans="12:13" x14ac:dyDescent="0.25">
      <c r="L589" s="65">
        <v>123000</v>
      </c>
      <c r="M589" t="s">
        <v>753</v>
      </c>
    </row>
    <row r="590" spans="12:13" x14ac:dyDescent="0.25">
      <c r="L590" s="65">
        <v>123100</v>
      </c>
      <c r="M590" t="s">
        <v>754</v>
      </c>
    </row>
    <row r="591" spans="12:13" x14ac:dyDescent="0.25">
      <c r="L591" s="65">
        <v>123110</v>
      </c>
      <c r="M591" t="s">
        <v>755</v>
      </c>
    </row>
    <row r="592" spans="12:13" x14ac:dyDescent="0.25">
      <c r="L592" s="65">
        <v>123111</v>
      </c>
      <c r="M592" t="s">
        <v>756</v>
      </c>
    </row>
    <row r="593" spans="12:13" x14ac:dyDescent="0.25">
      <c r="L593" s="65">
        <v>123112</v>
      </c>
      <c r="M593" t="s">
        <v>757</v>
      </c>
    </row>
    <row r="594" spans="12:13" x14ac:dyDescent="0.25">
      <c r="L594" s="65">
        <v>123113</v>
      </c>
      <c r="M594" t="s">
        <v>758</v>
      </c>
    </row>
    <row r="595" spans="12:13" x14ac:dyDescent="0.25">
      <c r="L595" s="65">
        <v>123119</v>
      </c>
      <c r="M595" t="s">
        <v>759</v>
      </c>
    </row>
    <row r="596" spans="12:13" x14ac:dyDescent="0.25">
      <c r="L596" s="65">
        <v>123120</v>
      </c>
      <c r="M596" t="s">
        <v>760</v>
      </c>
    </row>
    <row r="597" spans="12:13" x14ac:dyDescent="0.25">
      <c r="L597" s="65">
        <v>123121</v>
      </c>
      <c r="M597" t="s">
        <v>761</v>
      </c>
    </row>
    <row r="598" spans="12:13" x14ac:dyDescent="0.25">
      <c r="L598" s="65">
        <v>123122</v>
      </c>
      <c r="M598" t="s">
        <v>762</v>
      </c>
    </row>
    <row r="599" spans="12:13" x14ac:dyDescent="0.25">
      <c r="L599" s="65">
        <v>123129</v>
      </c>
      <c r="M599" t="s">
        <v>763</v>
      </c>
    </row>
    <row r="600" spans="12:13" x14ac:dyDescent="0.25">
      <c r="L600" s="65">
        <v>123130</v>
      </c>
      <c r="M600" t="s">
        <v>735</v>
      </c>
    </row>
    <row r="601" spans="12:13" x14ac:dyDescent="0.25">
      <c r="L601" s="65">
        <v>123131</v>
      </c>
      <c r="M601" t="s">
        <v>735</v>
      </c>
    </row>
    <row r="602" spans="12:13" x14ac:dyDescent="0.25">
      <c r="L602" s="65">
        <v>123190</v>
      </c>
      <c r="M602" t="s">
        <v>764</v>
      </c>
    </row>
    <row r="603" spans="12:13" x14ac:dyDescent="0.25">
      <c r="L603" s="65">
        <v>123191</v>
      </c>
      <c r="M603" t="s">
        <v>764</v>
      </c>
    </row>
    <row r="604" spans="12:13" x14ac:dyDescent="0.25">
      <c r="L604" s="65">
        <v>123200</v>
      </c>
      <c r="M604" t="s">
        <v>765</v>
      </c>
    </row>
    <row r="605" spans="12:13" x14ac:dyDescent="0.25">
      <c r="L605" s="65">
        <v>123210</v>
      </c>
      <c r="M605" t="s">
        <v>766</v>
      </c>
    </row>
    <row r="606" spans="12:13" x14ac:dyDescent="0.25">
      <c r="L606" s="65">
        <v>123211</v>
      </c>
      <c r="M606" t="s">
        <v>766</v>
      </c>
    </row>
    <row r="607" spans="12:13" x14ac:dyDescent="0.25">
      <c r="L607" s="65">
        <v>123220</v>
      </c>
      <c r="M607" t="s">
        <v>767</v>
      </c>
    </row>
    <row r="608" spans="12:13" x14ac:dyDescent="0.25">
      <c r="L608" s="65">
        <v>123221</v>
      </c>
      <c r="M608" t="s">
        <v>767</v>
      </c>
    </row>
    <row r="609" spans="12:13" x14ac:dyDescent="0.25">
      <c r="L609" s="65">
        <v>123230</v>
      </c>
      <c r="M609" t="s">
        <v>768</v>
      </c>
    </row>
    <row r="610" spans="12:13" x14ac:dyDescent="0.25">
      <c r="L610" s="65">
        <v>123231</v>
      </c>
      <c r="M610" t="s">
        <v>768</v>
      </c>
    </row>
    <row r="611" spans="12:13" x14ac:dyDescent="0.25">
      <c r="L611" s="65">
        <v>123240</v>
      </c>
      <c r="M611" t="s">
        <v>769</v>
      </c>
    </row>
    <row r="612" spans="12:13" x14ac:dyDescent="0.25">
      <c r="L612" s="65">
        <v>123241</v>
      </c>
      <c r="M612" t="s">
        <v>769</v>
      </c>
    </row>
    <row r="613" spans="12:13" x14ac:dyDescent="0.25">
      <c r="L613" s="65">
        <v>123250</v>
      </c>
      <c r="M613" t="s">
        <v>770</v>
      </c>
    </row>
    <row r="614" spans="12:13" x14ac:dyDescent="0.25">
      <c r="L614" s="65">
        <v>123251</v>
      </c>
      <c r="M614" t="s">
        <v>770</v>
      </c>
    </row>
    <row r="615" spans="12:13" x14ac:dyDescent="0.25">
      <c r="L615" s="65">
        <v>123260</v>
      </c>
      <c r="M615" t="s">
        <v>771</v>
      </c>
    </row>
    <row r="616" spans="12:13" x14ac:dyDescent="0.25">
      <c r="L616" s="65">
        <v>123261</v>
      </c>
      <c r="M616" t="s">
        <v>771</v>
      </c>
    </row>
    <row r="617" spans="12:13" x14ac:dyDescent="0.25">
      <c r="L617" s="65">
        <v>123290</v>
      </c>
      <c r="M617" t="s">
        <v>772</v>
      </c>
    </row>
    <row r="618" spans="12:13" x14ac:dyDescent="0.25">
      <c r="L618" s="65">
        <v>123291</v>
      </c>
      <c r="M618" t="s">
        <v>772</v>
      </c>
    </row>
    <row r="619" spans="12:13" x14ac:dyDescent="0.25">
      <c r="L619" s="65">
        <v>123300</v>
      </c>
      <c r="M619" t="s">
        <v>773</v>
      </c>
    </row>
    <row r="620" spans="12:13" x14ac:dyDescent="0.25">
      <c r="L620" s="65">
        <v>123310</v>
      </c>
      <c r="M620" t="s">
        <v>774</v>
      </c>
    </row>
    <row r="621" spans="12:13" x14ac:dyDescent="0.25">
      <c r="L621" s="65">
        <v>123311</v>
      </c>
      <c r="M621" t="s">
        <v>774</v>
      </c>
    </row>
    <row r="622" spans="12:13" x14ac:dyDescent="0.25">
      <c r="L622" s="65">
        <v>123320</v>
      </c>
      <c r="M622" t="s">
        <v>699</v>
      </c>
    </row>
    <row r="623" spans="12:13" x14ac:dyDescent="0.25">
      <c r="L623" s="65">
        <v>123321</v>
      </c>
      <c r="M623" t="s">
        <v>699</v>
      </c>
    </row>
    <row r="624" spans="12:13" x14ac:dyDescent="0.25">
      <c r="L624" s="65">
        <v>123330</v>
      </c>
      <c r="M624" t="s">
        <v>775</v>
      </c>
    </row>
    <row r="625" spans="12:13" x14ac:dyDescent="0.25">
      <c r="L625" s="65">
        <v>123331</v>
      </c>
      <c r="M625" t="s">
        <v>775</v>
      </c>
    </row>
    <row r="626" spans="12:13" x14ac:dyDescent="0.25">
      <c r="L626" s="65">
        <v>123340</v>
      </c>
      <c r="M626" t="s">
        <v>776</v>
      </c>
    </row>
    <row r="627" spans="12:13" x14ac:dyDescent="0.25">
      <c r="L627" s="65">
        <v>123341</v>
      </c>
      <c r="M627" t="s">
        <v>776</v>
      </c>
    </row>
    <row r="628" spans="12:13" x14ac:dyDescent="0.25">
      <c r="L628" s="65">
        <v>123350</v>
      </c>
      <c r="M628" t="s">
        <v>777</v>
      </c>
    </row>
    <row r="629" spans="12:13" x14ac:dyDescent="0.25">
      <c r="L629" s="65">
        <v>123351</v>
      </c>
      <c r="M629" t="s">
        <v>777</v>
      </c>
    </row>
    <row r="630" spans="12:13" x14ac:dyDescent="0.25">
      <c r="L630" s="65">
        <v>123360</v>
      </c>
      <c r="M630" t="s">
        <v>778</v>
      </c>
    </row>
    <row r="631" spans="12:13" x14ac:dyDescent="0.25">
      <c r="L631" s="65">
        <v>123361</v>
      </c>
      <c r="M631" t="s">
        <v>778</v>
      </c>
    </row>
    <row r="632" spans="12:13" x14ac:dyDescent="0.25">
      <c r="L632" s="65">
        <v>123370</v>
      </c>
      <c r="M632" t="s">
        <v>779</v>
      </c>
    </row>
    <row r="633" spans="12:13" x14ac:dyDescent="0.25">
      <c r="L633" s="65">
        <v>123371</v>
      </c>
      <c r="M633" t="s">
        <v>779</v>
      </c>
    </row>
    <row r="634" spans="12:13" x14ac:dyDescent="0.25">
      <c r="L634" s="65">
        <v>123380</v>
      </c>
      <c r="M634" t="s">
        <v>780</v>
      </c>
    </row>
    <row r="635" spans="12:13" x14ac:dyDescent="0.25">
      <c r="L635" s="65">
        <v>123381</v>
      </c>
      <c r="M635" t="s">
        <v>780</v>
      </c>
    </row>
    <row r="636" spans="12:13" x14ac:dyDescent="0.25">
      <c r="L636" s="65">
        <v>123390</v>
      </c>
      <c r="M636" t="s">
        <v>781</v>
      </c>
    </row>
    <row r="637" spans="12:13" x14ac:dyDescent="0.25">
      <c r="L637" s="65">
        <v>123391</v>
      </c>
      <c r="M637" t="s">
        <v>781</v>
      </c>
    </row>
    <row r="638" spans="12:13" x14ac:dyDescent="0.25">
      <c r="L638" s="65">
        <v>123900</v>
      </c>
      <c r="M638" t="s">
        <v>782</v>
      </c>
    </row>
    <row r="639" spans="12:13" x14ac:dyDescent="0.25">
      <c r="L639" s="65">
        <v>123910</v>
      </c>
      <c r="M639" t="s">
        <v>783</v>
      </c>
    </row>
    <row r="640" spans="12:13" x14ac:dyDescent="0.25">
      <c r="L640" s="65">
        <v>123911</v>
      </c>
      <c r="M640" t="s">
        <v>783</v>
      </c>
    </row>
    <row r="641" spans="12:13" x14ac:dyDescent="0.25">
      <c r="L641" s="65">
        <v>123920</v>
      </c>
      <c r="M641" t="s">
        <v>784</v>
      </c>
    </row>
    <row r="642" spans="12:13" x14ac:dyDescent="0.25">
      <c r="L642" s="65">
        <v>123921</v>
      </c>
      <c r="M642" t="s">
        <v>784</v>
      </c>
    </row>
    <row r="643" spans="12:13" x14ac:dyDescent="0.25">
      <c r="L643" s="65">
        <v>123930</v>
      </c>
      <c r="M643" t="s">
        <v>785</v>
      </c>
    </row>
    <row r="644" spans="12:13" x14ac:dyDescent="0.25">
      <c r="L644" s="65">
        <v>123931</v>
      </c>
      <c r="M644" t="s">
        <v>785</v>
      </c>
    </row>
    <row r="645" spans="12:13" x14ac:dyDescent="0.25">
      <c r="L645" s="65">
        <v>123940</v>
      </c>
      <c r="M645" t="s">
        <v>786</v>
      </c>
    </row>
    <row r="646" spans="12:13" x14ac:dyDescent="0.25">
      <c r="L646" s="65">
        <v>123941</v>
      </c>
      <c r="M646" t="s">
        <v>786</v>
      </c>
    </row>
    <row r="647" spans="12:13" x14ac:dyDescent="0.25">
      <c r="L647" s="65">
        <v>123950</v>
      </c>
      <c r="M647" t="s">
        <v>787</v>
      </c>
    </row>
    <row r="648" spans="12:13" x14ac:dyDescent="0.25">
      <c r="L648" s="65">
        <v>123951</v>
      </c>
      <c r="M648" t="s">
        <v>787</v>
      </c>
    </row>
    <row r="649" spans="12:13" x14ac:dyDescent="0.25">
      <c r="L649" s="65">
        <v>123960</v>
      </c>
      <c r="M649" t="s">
        <v>788</v>
      </c>
    </row>
    <row r="650" spans="12:13" x14ac:dyDescent="0.25">
      <c r="L650" s="65">
        <v>123961</v>
      </c>
      <c r="M650" t="s">
        <v>789</v>
      </c>
    </row>
    <row r="651" spans="12:13" x14ac:dyDescent="0.25">
      <c r="L651" s="65">
        <v>123962</v>
      </c>
      <c r="M651" t="s">
        <v>790</v>
      </c>
    </row>
    <row r="652" spans="12:13" x14ac:dyDescent="0.25">
      <c r="L652" s="65">
        <v>123963</v>
      </c>
      <c r="M652" t="s">
        <v>791</v>
      </c>
    </row>
    <row r="653" spans="12:13" x14ac:dyDescent="0.25">
      <c r="L653" s="65">
        <v>123964</v>
      </c>
      <c r="M653" t="s">
        <v>792</v>
      </c>
    </row>
    <row r="654" spans="12:13" x14ac:dyDescent="0.25">
      <c r="L654" s="65">
        <v>123965</v>
      </c>
      <c r="M654" t="s">
        <v>793</v>
      </c>
    </row>
    <row r="655" spans="12:13" x14ac:dyDescent="0.25">
      <c r="L655" s="65">
        <v>123966</v>
      </c>
      <c r="M655" t="s">
        <v>794</v>
      </c>
    </row>
    <row r="656" spans="12:13" x14ac:dyDescent="0.25">
      <c r="L656" s="65">
        <v>123967</v>
      </c>
      <c r="M656" t="s">
        <v>795</v>
      </c>
    </row>
    <row r="657" spans="12:13" x14ac:dyDescent="0.25">
      <c r="L657" s="65">
        <v>123968</v>
      </c>
      <c r="M657" t="s">
        <v>796</v>
      </c>
    </row>
    <row r="658" spans="12:13" x14ac:dyDescent="0.25">
      <c r="L658" s="65">
        <v>123969</v>
      </c>
      <c r="M658" t="s">
        <v>797</v>
      </c>
    </row>
    <row r="659" spans="12:13" x14ac:dyDescent="0.25">
      <c r="L659" s="65">
        <v>123990</v>
      </c>
      <c r="M659" t="s">
        <v>798</v>
      </c>
    </row>
    <row r="660" spans="12:13" x14ac:dyDescent="0.25">
      <c r="L660" s="65">
        <v>123991</v>
      </c>
      <c r="M660" t="s">
        <v>798</v>
      </c>
    </row>
    <row r="661" spans="12:13" x14ac:dyDescent="0.25">
      <c r="L661" s="65">
        <v>130000</v>
      </c>
      <c r="M661" t="s">
        <v>799</v>
      </c>
    </row>
    <row r="662" spans="12:13" x14ac:dyDescent="0.25">
      <c r="L662" s="65">
        <v>131000</v>
      </c>
      <c r="M662" t="s">
        <v>799</v>
      </c>
    </row>
    <row r="663" spans="12:13" x14ac:dyDescent="0.25">
      <c r="L663" s="65">
        <v>131100</v>
      </c>
      <c r="M663" t="s">
        <v>800</v>
      </c>
    </row>
    <row r="664" spans="12:13" x14ac:dyDescent="0.25">
      <c r="L664" s="65">
        <v>131110</v>
      </c>
      <c r="M664" t="s">
        <v>800</v>
      </c>
    </row>
    <row r="665" spans="12:13" x14ac:dyDescent="0.25">
      <c r="L665" s="65">
        <v>131111</v>
      </c>
      <c r="M665" t="s">
        <v>801</v>
      </c>
    </row>
    <row r="666" spans="12:13" x14ac:dyDescent="0.25">
      <c r="L666" s="65">
        <v>131112</v>
      </c>
      <c r="M666" t="s">
        <v>802</v>
      </c>
    </row>
    <row r="667" spans="12:13" x14ac:dyDescent="0.25">
      <c r="L667" s="65">
        <v>131113</v>
      </c>
      <c r="M667" t="s">
        <v>803</v>
      </c>
    </row>
    <row r="668" spans="12:13" x14ac:dyDescent="0.25">
      <c r="L668" s="65">
        <v>131114</v>
      </c>
      <c r="M668" t="s">
        <v>804</v>
      </c>
    </row>
    <row r="669" spans="12:13" x14ac:dyDescent="0.25">
      <c r="L669" s="65">
        <v>131119</v>
      </c>
      <c r="M669" t="s">
        <v>805</v>
      </c>
    </row>
    <row r="670" spans="12:13" x14ac:dyDescent="0.25">
      <c r="L670" s="65">
        <v>131200</v>
      </c>
      <c r="M670" t="s">
        <v>806</v>
      </c>
    </row>
    <row r="671" spans="12:13" x14ac:dyDescent="0.25">
      <c r="L671" s="65">
        <v>131210</v>
      </c>
      <c r="M671" t="s">
        <v>806</v>
      </c>
    </row>
    <row r="672" spans="12:13" x14ac:dyDescent="0.25">
      <c r="L672" s="65">
        <v>131211</v>
      </c>
      <c r="M672" t="s">
        <v>807</v>
      </c>
    </row>
    <row r="673" spans="12:13" x14ac:dyDescent="0.25">
      <c r="L673" s="65">
        <v>131212</v>
      </c>
      <c r="M673" t="s">
        <v>808</v>
      </c>
    </row>
    <row r="674" spans="12:13" x14ac:dyDescent="0.25">
      <c r="L674" s="65">
        <v>131300</v>
      </c>
      <c r="M674" t="s">
        <v>809</v>
      </c>
    </row>
    <row r="675" spans="12:13" x14ac:dyDescent="0.25">
      <c r="L675" s="65">
        <v>131310</v>
      </c>
      <c r="M675" t="s">
        <v>809</v>
      </c>
    </row>
    <row r="676" spans="12:13" x14ac:dyDescent="0.25">
      <c r="L676" s="65">
        <v>131311</v>
      </c>
      <c r="M676" t="s">
        <v>810</v>
      </c>
    </row>
    <row r="677" spans="12:13" x14ac:dyDescent="0.25">
      <c r="L677" s="65">
        <v>131312</v>
      </c>
      <c r="M677" t="s">
        <v>809</v>
      </c>
    </row>
    <row r="678" spans="12:13" x14ac:dyDescent="0.25">
      <c r="L678" s="65">
        <v>200000</v>
      </c>
      <c r="M678" t="s">
        <v>811</v>
      </c>
    </row>
    <row r="679" spans="12:13" x14ac:dyDescent="0.25">
      <c r="L679" s="66">
        <v>210000</v>
      </c>
      <c r="M679" s="62" t="s">
        <v>812</v>
      </c>
    </row>
    <row r="680" spans="12:13" x14ac:dyDescent="0.25">
      <c r="L680" s="65">
        <v>211000</v>
      </c>
      <c r="M680" t="s">
        <v>813</v>
      </c>
    </row>
    <row r="681" spans="12:13" x14ac:dyDescent="0.25">
      <c r="L681" s="65">
        <v>211100</v>
      </c>
      <c r="M681" t="s">
        <v>814</v>
      </c>
    </row>
    <row r="682" spans="12:13" x14ac:dyDescent="0.25">
      <c r="L682" s="65">
        <v>211110</v>
      </c>
      <c r="M682" t="s">
        <v>814</v>
      </c>
    </row>
    <row r="683" spans="12:13" x14ac:dyDescent="0.25">
      <c r="L683" s="65">
        <v>211111</v>
      </c>
      <c r="M683" t="s">
        <v>814</v>
      </c>
    </row>
    <row r="684" spans="12:13" x14ac:dyDescent="0.25">
      <c r="L684" s="65">
        <v>211200</v>
      </c>
      <c r="M684" t="s">
        <v>815</v>
      </c>
    </row>
    <row r="685" spans="12:13" x14ac:dyDescent="0.25">
      <c r="L685" s="65">
        <v>211210</v>
      </c>
      <c r="M685" t="s">
        <v>816</v>
      </c>
    </row>
    <row r="686" spans="12:13" x14ac:dyDescent="0.25">
      <c r="L686" s="65">
        <v>211211</v>
      </c>
      <c r="M686" t="s">
        <v>816</v>
      </c>
    </row>
    <row r="687" spans="12:13" x14ac:dyDescent="0.25">
      <c r="L687" s="65">
        <v>211220</v>
      </c>
      <c r="M687" t="s">
        <v>817</v>
      </c>
    </row>
    <row r="688" spans="12:13" x14ac:dyDescent="0.25">
      <c r="L688" s="65">
        <v>211221</v>
      </c>
      <c r="M688" t="s">
        <v>817</v>
      </c>
    </row>
    <row r="689" spans="12:13" x14ac:dyDescent="0.25">
      <c r="L689" s="65">
        <v>211230</v>
      </c>
      <c r="M689" t="s">
        <v>818</v>
      </c>
    </row>
    <row r="690" spans="12:13" x14ac:dyDescent="0.25">
      <c r="L690" s="65">
        <v>211231</v>
      </c>
      <c r="M690" t="s">
        <v>818</v>
      </c>
    </row>
    <row r="691" spans="12:13" x14ac:dyDescent="0.25">
      <c r="L691" s="65">
        <v>211240</v>
      </c>
      <c r="M691" t="s">
        <v>819</v>
      </c>
    </row>
    <row r="692" spans="12:13" x14ac:dyDescent="0.25">
      <c r="L692" s="65">
        <v>211241</v>
      </c>
      <c r="M692" t="s">
        <v>819</v>
      </c>
    </row>
    <row r="693" spans="12:13" x14ac:dyDescent="0.25">
      <c r="L693" s="65">
        <v>211250</v>
      </c>
      <c r="M693" t="s">
        <v>820</v>
      </c>
    </row>
    <row r="694" spans="12:13" x14ac:dyDescent="0.25">
      <c r="L694" s="65">
        <v>211251</v>
      </c>
      <c r="M694" t="s">
        <v>821</v>
      </c>
    </row>
    <row r="695" spans="12:13" x14ac:dyDescent="0.25">
      <c r="L695" s="65">
        <v>211252</v>
      </c>
      <c r="M695" t="s">
        <v>822</v>
      </c>
    </row>
    <row r="696" spans="12:13" x14ac:dyDescent="0.25">
      <c r="L696" s="65">
        <v>211255</v>
      </c>
      <c r="M696" t="s">
        <v>823</v>
      </c>
    </row>
    <row r="697" spans="12:13" x14ac:dyDescent="0.25">
      <c r="L697" s="65">
        <v>211300</v>
      </c>
      <c r="M697" t="s">
        <v>824</v>
      </c>
    </row>
    <row r="698" spans="12:13" x14ac:dyDescent="0.25">
      <c r="L698" s="65">
        <v>211310</v>
      </c>
      <c r="M698" t="s">
        <v>824</v>
      </c>
    </row>
    <row r="699" spans="12:13" x14ac:dyDescent="0.25">
      <c r="L699" s="65">
        <v>211311</v>
      </c>
      <c r="M699" t="s">
        <v>825</v>
      </c>
    </row>
    <row r="700" spans="12:13" x14ac:dyDescent="0.25">
      <c r="L700" s="65">
        <v>211390</v>
      </c>
      <c r="M700" t="s">
        <v>826</v>
      </c>
    </row>
    <row r="701" spans="12:13" x14ac:dyDescent="0.25">
      <c r="L701" s="65">
        <v>211391</v>
      </c>
      <c r="M701" t="s">
        <v>826</v>
      </c>
    </row>
    <row r="702" spans="12:13" x14ac:dyDescent="0.25">
      <c r="L702" s="65">
        <v>211400</v>
      </c>
      <c r="M702" t="s">
        <v>827</v>
      </c>
    </row>
    <row r="703" spans="12:13" x14ac:dyDescent="0.25">
      <c r="L703" s="65">
        <v>211410</v>
      </c>
      <c r="M703" t="s">
        <v>827</v>
      </c>
    </row>
    <row r="704" spans="12:13" x14ac:dyDescent="0.25">
      <c r="L704" s="65">
        <v>211411</v>
      </c>
      <c r="M704" t="s">
        <v>827</v>
      </c>
    </row>
    <row r="705" spans="12:13" x14ac:dyDescent="0.25">
      <c r="L705" s="65">
        <v>211500</v>
      </c>
      <c r="M705" t="s">
        <v>828</v>
      </c>
    </row>
    <row r="706" spans="12:13" x14ac:dyDescent="0.25">
      <c r="L706" s="65">
        <v>211510</v>
      </c>
      <c r="M706" t="s">
        <v>828</v>
      </c>
    </row>
    <row r="707" spans="12:13" x14ac:dyDescent="0.25">
      <c r="L707" s="65">
        <v>211511</v>
      </c>
      <c r="M707" t="s">
        <v>828</v>
      </c>
    </row>
    <row r="708" spans="12:13" x14ac:dyDescent="0.25">
      <c r="L708" s="65">
        <v>211600</v>
      </c>
      <c r="M708" t="s">
        <v>829</v>
      </c>
    </row>
    <row r="709" spans="12:13" x14ac:dyDescent="0.25">
      <c r="L709" s="65">
        <v>211610</v>
      </c>
      <c r="M709" t="s">
        <v>829</v>
      </c>
    </row>
    <row r="710" spans="12:13" x14ac:dyDescent="0.25">
      <c r="L710" s="65">
        <v>211611</v>
      </c>
      <c r="M710" t="s">
        <v>829</v>
      </c>
    </row>
    <row r="711" spans="12:13" x14ac:dyDescent="0.25">
      <c r="L711" s="65">
        <v>211700</v>
      </c>
      <c r="M711" t="s">
        <v>830</v>
      </c>
    </row>
    <row r="712" spans="12:13" x14ac:dyDescent="0.25">
      <c r="L712" s="65">
        <v>211710</v>
      </c>
      <c r="M712" t="s">
        <v>830</v>
      </c>
    </row>
    <row r="713" spans="12:13" x14ac:dyDescent="0.25">
      <c r="L713" s="65">
        <v>211711</v>
      </c>
      <c r="M713" t="s">
        <v>830</v>
      </c>
    </row>
    <row r="714" spans="12:13" x14ac:dyDescent="0.25">
      <c r="L714" s="65">
        <v>211800</v>
      </c>
      <c r="M714" t="s">
        <v>831</v>
      </c>
    </row>
    <row r="715" spans="12:13" x14ac:dyDescent="0.25">
      <c r="L715" s="65">
        <v>211810</v>
      </c>
      <c r="M715" t="s">
        <v>831</v>
      </c>
    </row>
    <row r="716" spans="12:13" x14ac:dyDescent="0.25">
      <c r="L716" s="65">
        <v>211811</v>
      </c>
      <c r="M716" t="s">
        <v>831</v>
      </c>
    </row>
    <row r="717" spans="12:13" x14ac:dyDescent="0.25">
      <c r="L717" s="65">
        <v>211900</v>
      </c>
      <c r="M717" t="s">
        <v>832</v>
      </c>
    </row>
    <row r="718" spans="12:13" x14ac:dyDescent="0.25">
      <c r="L718" s="65">
        <v>211910</v>
      </c>
      <c r="M718" t="s">
        <v>832</v>
      </c>
    </row>
    <row r="719" spans="12:13" x14ac:dyDescent="0.25">
      <c r="L719" s="65">
        <v>211911</v>
      </c>
      <c r="M719" t="s">
        <v>833</v>
      </c>
    </row>
    <row r="720" spans="12:13" x14ac:dyDescent="0.25">
      <c r="L720" s="65">
        <v>211912</v>
      </c>
      <c r="M720" t="s">
        <v>834</v>
      </c>
    </row>
    <row r="721" spans="12:13" x14ac:dyDescent="0.25">
      <c r="L721" s="65">
        <v>211913</v>
      </c>
      <c r="M721" t="s">
        <v>835</v>
      </c>
    </row>
    <row r="722" spans="12:13" x14ac:dyDescent="0.25">
      <c r="L722" s="65">
        <v>212000</v>
      </c>
      <c r="M722" t="s">
        <v>836</v>
      </c>
    </row>
    <row r="723" spans="12:13" x14ac:dyDescent="0.25">
      <c r="L723" s="65">
        <v>212100</v>
      </c>
      <c r="M723" t="s">
        <v>837</v>
      </c>
    </row>
    <row r="724" spans="12:13" x14ac:dyDescent="0.25">
      <c r="L724" s="65">
        <v>212110</v>
      </c>
      <c r="M724" t="s">
        <v>837</v>
      </c>
    </row>
    <row r="725" spans="12:13" x14ac:dyDescent="0.25">
      <c r="L725" s="65">
        <v>212111</v>
      </c>
      <c r="M725" t="s">
        <v>837</v>
      </c>
    </row>
    <row r="726" spans="12:13" x14ac:dyDescent="0.25">
      <c r="L726" s="65">
        <v>212200</v>
      </c>
      <c r="M726" t="s">
        <v>838</v>
      </c>
    </row>
    <row r="727" spans="12:13" x14ac:dyDescent="0.25">
      <c r="L727" s="65">
        <v>212210</v>
      </c>
      <c r="M727" t="s">
        <v>839</v>
      </c>
    </row>
    <row r="728" spans="12:13" x14ac:dyDescent="0.25">
      <c r="L728" s="65">
        <v>212211</v>
      </c>
      <c r="M728" t="s">
        <v>839</v>
      </c>
    </row>
    <row r="729" spans="12:13" x14ac:dyDescent="0.25">
      <c r="L729" s="65">
        <v>212220</v>
      </c>
      <c r="M729" t="s">
        <v>840</v>
      </c>
    </row>
    <row r="730" spans="12:13" x14ac:dyDescent="0.25">
      <c r="L730" s="65">
        <v>212221</v>
      </c>
      <c r="M730" t="s">
        <v>840</v>
      </c>
    </row>
    <row r="731" spans="12:13" x14ac:dyDescent="0.25">
      <c r="L731" s="65">
        <v>212290</v>
      </c>
      <c r="M731" t="s">
        <v>841</v>
      </c>
    </row>
    <row r="732" spans="12:13" x14ac:dyDescent="0.25">
      <c r="L732" s="65">
        <v>212291</v>
      </c>
      <c r="M732" t="s">
        <v>841</v>
      </c>
    </row>
    <row r="733" spans="12:13" x14ac:dyDescent="0.25">
      <c r="L733" s="65">
        <v>212300</v>
      </c>
      <c r="M733" t="s">
        <v>842</v>
      </c>
    </row>
    <row r="734" spans="12:13" x14ac:dyDescent="0.25">
      <c r="L734" s="65">
        <v>212310</v>
      </c>
      <c r="M734" t="s">
        <v>843</v>
      </c>
    </row>
    <row r="735" spans="12:13" x14ac:dyDescent="0.25">
      <c r="L735" s="65">
        <v>212311</v>
      </c>
      <c r="M735" t="s">
        <v>843</v>
      </c>
    </row>
    <row r="736" spans="12:13" x14ac:dyDescent="0.25">
      <c r="L736" s="65">
        <v>212320</v>
      </c>
      <c r="M736" t="s">
        <v>844</v>
      </c>
    </row>
    <row r="737" spans="12:13" x14ac:dyDescent="0.25">
      <c r="L737" s="65">
        <v>212321</v>
      </c>
      <c r="M737" t="s">
        <v>844</v>
      </c>
    </row>
    <row r="738" spans="12:13" x14ac:dyDescent="0.25">
      <c r="L738" s="65">
        <v>212330</v>
      </c>
      <c r="M738" t="s">
        <v>845</v>
      </c>
    </row>
    <row r="739" spans="12:13" x14ac:dyDescent="0.25">
      <c r="L739" s="65">
        <v>212331</v>
      </c>
      <c r="M739" t="s">
        <v>845</v>
      </c>
    </row>
    <row r="740" spans="12:13" x14ac:dyDescent="0.25">
      <c r="L740" s="65">
        <v>212340</v>
      </c>
      <c r="M740" t="s">
        <v>846</v>
      </c>
    </row>
    <row r="741" spans="12:13" x14ac:dyDescent="0.25">
      <c r="L741" s="65">
        <v>212341</v>
      </c>
      <c r="M741" t="s">
        <v>846</v>
      </c>
    </row>
    <row r="742" spans="12:13" x14ac:dyDescent="0.25">
      <c r="L742" s="65">
        <v>212350</v>
      </c>
      <c r="M742" t="s">
        <v>847</v>
      </c>
    </row>
    <row r="743" spans="12:13" x14ac:dyDescent="0.25">
      <c r="L743" s="65">
        <v>212351</v>
      </c>
      <c r="M743" t="s">
        <v>847</v>
      </c>
    </row>
    <row r="744" spans="12:13" x14ac:dyDescent="0.25">
      <c r="L744" s="65">
        <v>212390</v>
      </c>
      <c r="M744" t="s">
        <v>848</v>
      </c>
    </row>
    <row r="745" spans="12:13" x14ac:dyDescent="0.25">
      <c r="L745" s="65">
        <v>212391</v>
      </c>
      <c r="M745" t="s">
        <v>848</v>
      </c>
    </row>
    <row r="746" spans="12:13" x14ac:dyDescent="0.25">
      <c r="L746" s="65">
        <v>212400</v>
      </c>
      <c r="M746" t="s">
        <v>849</v>
      </c>
    </row>
    <row r="747" spans="12:13" x14ac:dyDescent="0.25">
      <c r="L747" s="65">
        <v>212410</v>
      </c>
      <c r="M747" t="s">
        <v>850</v>
      </c>
    </row>
    <row r="748" spans="12:13" x14ac:dyDescent="0.25">
      <c r="L748" s="65">
        <v>212411</v>
      </c>
      <c r="M748" t="s">
        <v>850</v>
      </c>
    </row>
    <row r="749" spans="12:13" x14ac:dyDescent="0.25">
      <c r="L749" s="65">
        <v>212490</v>
      </c>
      <c r="M749" t="s">
        <v>851</v>
      </c>
    </row>
    <row r="750" spans="12:13" x14ac:dyDescent="0.25">
      <c r="L750" s="65">
        <v>212491</v>
      </c>
      <c r="M750" t="s">
        <v>851</v>
      </c>
    </row>
    <row r="751" spans="12:13" x14ac:dyDescent="0.25">
      <c r="L751" s="65">
        <v>212500</v>
      </c>
      <c r="M751" t="s">
        <v>852</v>
      </c>
    </row>
    <row r="752" spans="12:13" x14ac:dyDescent="0.25">
      <c r="L752" s="65">
        <v>212510</v>
      </c>
      <c r="M752" t="s">
        <v>852</v>
      </c>
    </row>
    <row r="753" spans="12:13" x14ac:dyDescent="0.25">
      <c r="L753" s="65">
        <v>212511</v>
      </c>
      <c r="M753" t="s">
        <v>852</v>
      </c>
    </row>
    <row r="754" spans="12:13" x14ac:dyDescent="0.25">
      <c r="L754" s="65">
        <v>212600</v>
      </c>
      <c r="M754" t="s">
        <v>853</v>
      </c>
    </row>
    <row r="755" spans="12:13" x14ac:dyDescent="0.25">
      <c r="L755" s="65">
        <v>212610</v>
      </c>
      <c r="M755" t="s">
        <v>853</v>
      </c>
    </row>
    <row r="756" spans="12:13" x14ac:dyDescent="0.25">
      <c r="L756" s="65">
        <v>212611</v>
      </c>
      <c r="M756" t="s">
        <v>853</v>
      </c>
    </row>
    <row r="757" spans="12:13" x14ac:dyDescent="0.25">
      <c r="L757" s="65">
        <v>213000</v>
      </c>
      <c r="M757" t="s">
        <v>854</v>
      </c>
    </row>
    <row r="758" spans="12:13" x14ac:dyDescent="0.25">
      <c r="L758" s="65">
        <v>213100</v>
      </c>
      <c r="M758" t="s">
        <v>854</v>
      </c>
    </row>
    <row r="759" spans="12:13" x14ac:dyDescent="0.25">
      <c r="L759" s="65">
        <v>213110</v>
      </c>
      <c r="M759" t="s">
        <v>854</v>
      </c>
    </row>
    <row r="760" spans="12:13" x14ac:dyDescent="0.25">
      <c r="L760" s="65">
        <v>213111</v>
      </c>
      <c r="M760" t="s">
        <v>854</v>
      </c>
    </row>
    <row r="761" spans="12:13" x14ac:dyDescent="0.25">
      <c r="L761" s="65">
        <v>220000</v>
      </c>
      <c r="M761" t="s">
        <v>855</v>
      </c>
    </row>
    <row r="762" spans="12:13" x14ac:dyDescent="0.25">
      <c r="L762" s="65">
        <v>221000</v>
      </c>
      <c r="M762" t="s">
        <v>856</v>
      </c>
    </row>
    <row r="763" spans="12:13" x14ac:dyDescent="0.25">
      <c r="L763" s="65">
        <v>221100</v>
      </c>
      <c r="M763" t="s">
        <v>857</v>
      </c>
    </row>
    <row r="764" spans="12:13" x14ac:dyDescent="0.25">
      <c r="L764" s="65">
        <v>221110</v>
      </c>
      <c r="M764" t="s">
        <v>857</v>
      </c>
    </row>
    <row r="765" spans="12:13" x14ac:dyDescent="0.25">
      <c r="L765" s="65">
        <v>221111</v>
      </c>
      <c r="M765" t="s">
        <v>857</v>
      </c>
    </row>
    <row r="766" spans="12:13" x14ac:dyDescent="0.25">
      <c r="L766" s="65">
        <v>221200</v>
      </c>
      <c r="M766" t="s">
        <v>858</v>
      </c>
    </row>
    <row r="767" spans="12:13" x14ac:dyDescent="0.25">
      <c r="L767" s="65">
        <v>221210</v>
      </c>
      <c r="M767" t="s">
        <v>859</v>
      </c>
    </row>
    <row r="768" spans="12:13" x14ac:dyDescent="0.25">
      <c r="L768" s="65">
        <v>221211</v>
      </c>
      <c r="M768" t="s">
        <v>859</v>
      </c>
    </row>
    <row r="769" spans="12:13" x14ac:dyDescent="0.25">
      <c r="L769" s="65">
        <v>221220</v>
      </c>
      <c r="M769" t="s">
        <v>860</v>
      </c>
    </row>
    <row r="770" spans="12:13" x14ac:dyDescent="0.25">
      <c r="L770" s="65">
        <v>221221</v>
      </c>
      <c r="M770" t="s">
        <v>860</v>
      </c>
    </row>
    <row r="771" spans="12:13" x14ac:dyDescent="0.25">
      <c r="L771" s="65">
        <v>221230</v>
      </c>
      <c r="M771" t="s">
        <v>861</v>
      </c>
    </row>
    <row r="772" spans="12:13" x14ac:dyDescent="0.25">
      <c r="L772" s="65">
        <v>221231</v>
      </c>
      <c r="M772" t="s">
        <v>861</v>
      </c>
    </row>
    <row r="773" spans="12:13" x14ac:dyDescent="0.25">
      <c r="L773" s="65">
        <v>221240</v>
      </c>
      <c r="M773" t="s">
        <v>862</v>
      </c>
    </row>
    <row r="774" spans="12:13" x14ac:dyDescent="0.25">
      <c r="L774" s="65">
        <v>221241</v>
      </c>
      <c r="M774" t="s">
        <v>862</v>
      </c>
    </row>
    <row r="775" spans="12:13" x14ac:dyDescent="0.25">
      <c r="L775" s="65">
        <v>221250</v>
      </c>
      <c r="M775" t="s">
        <v>863</v>
      </c>
    </row>
    <row r="776" spans="12:13" x14ac:dyDescent="0.25">
      <c r="L776" s="65">
        <v>221251</v>
      </c>
      <c r="M776" t="s">
        <v>864</v>
      </c>
    </row>
    <row r="777" spans="12:13" x14ac:dyDescent="0.25">
      <c r="L777" s="65">
        <v>221252</v>
      </c>
      <c r="M777" t="s">
        <v>865</v>
      </c>
    </row>
    <row r="778" spans="12:13" x14ac:dyDescent="0.25">
      <c r="L778" s="65">
        <v>221255</v>
      </c>
      <c r="M778" t="s">
        <v>866</v>
      </c>
    </row>
    <row r="779" spans="12:13" x14ac:dyDescent="0.25">
      <c r="L779" s="65">
        <v>221300</v>
      </c>
      <c r="M779" t="s">
        <v>867</v>
      </c>
    </row>
    <row r="780" spans="12:13" x14ac:dyDescent="0.25">
      <c r="L780" s="65">
        <v>221310</v>
      </c>
      <c r="M780" t="s">
        <v>868</v>
      </c>
    </row>
    <row r="781" spans="12:13" x14ac:dyDescent="0.25">
      <c r="L781" s="65">
        <v>221311</v>
      </c>
      <c r="M781" t="s">
        <v>868</v>
      </c>
    </row>
    <row r="782" spans="12:13" x14ac:dyDescent="0.25">
      <c r="L782" s="65">
        <v>221390</v>
      </c>
      <c r="M782" t="s">
        <v>869</v>
      </c>
    </row>
    <row r="783" spans="12:13" x14ac:dyDescent="0.25">
      <c r="L783" s="65">
        <v>221391</v>
      </c>
      <c r="M783" t="s">
        <v>869</v>
      </c>
    </row>
    <row r="784" spans="12:13" x14ac:dyDescent="0.25">
      <c r="L784" s="65">
        <v>221400</v>
      </c>
      <c r="M784" t="s">
        <v>870</v>
      </c>
    </row>
    <row r="785" spans="12:13" x14ac:dyDescent="0.25">
      <c r="L785" s="65">
        <v>221410</v>
      </c>
      <c r="M785" t="s">
        <v>870</v>
      </c>
    </row>
    <row r="786" spans="12:13" x14ac:dyDescent="0.25">
      <c r="L786" s="65">
        <v>221411</v>
      </c>
      <c r="M786" t="s">
        <v>870</v>
      </c>
    </row>
    <row r="787" spans="12:13" x14ac:dyDescent="0.25">
      <c r="L787" s="65">
        <v>221500</v>
      </c>
      <c r="M787" t="s">
        <v>871</v>
      </c>
    </row>
    <row r="788" spans="12:13" x14ac:dyDescent="0.25">
      <c r="L788" s="65">
        <v>221510</v>
      </c>
      <c r="M788" t="s">
        <v>871</v>
      </c>
    </row>
    <row r="789" spans="12:13" x14ac:dyDescent="0.25">
      <c r="L789" s="65">
        <v>221511</v>
      </c>
      <c r="M789" t="s">
        <v>871</v>
      </c>
    </row>
    <row r="790" spans="12:13" x14ac:dyDescent="0.25">
      <c r="L790" s="65">
        <v>221600</v>
      </c>
      <c r="M790" t="s">
        <v>872</v>
      </c>
    </row>
    <row r="791" spans="12:13" x14ac:dyDescent="0.25">
      <c r="L791" s="65">
        <v>221610</v>
      </c>
      <c r="M791" t="s">
        <v>872</v>
      </c>
    </row>
    <row r="792" spans="12:13" x14ac:dyDescent="0.25">
      <c r="L792" s="65">
        <v>221611</v>
      </c>
      <c r="M792" t="s">
        <v>872</v>
      </c>
    </row>
    <row r="793" spans="12:13" x14ac:dyDescent="0.25">
      <c r="L793" s="65">
        <v>221700</v>
      </c>
      <c r="M793" t="s">
        <v>873</v>
      </c>
    </row>
    <row r="794" spans="12:13" x14ac:dyDescent="0.25">
      <c r="L794" s="65">
        <v>221710</v>
      </c>
      <c r="M794" t="s">
        <v>873</v>
      </c>
    </row>
    <row r="795" spans="12:13" x14ac:dyDescent="0.25">
      <c r="L795" s="65">
        <v>221711</v>
      </c>
      <c r="M795" t="s">
        <v>873</v>
      </c>
    </row>
    <row r="796" spans="12:13" x14ac:dyDescent="0.25">
      <c r="L796" s="65">
        <v>221800</v>
      </c>
      <c r="M796" t="s">
        <v>874</v>
      </c>
    </row>
    <row r="797" spans="12:13" x14ac:dyDescent="0.25">
      <c r="L797" s="65">
        <v>221810</v>
      </c>
      <c r="M797" t="s">
        <v>874</v>
      </c>
    </row>
    <row r="798" spans="12:13" x14ac:dyDescent="0.25">
      <c r="L798" s="65">
        <v>221811</v>
      </c>
      <c r="M798" t="s">
        <v>874</v>
      </c>
    </row>
    <row r="799" spans="12:13" x14ac:dyDescent="0.25">
      <c r="L799" s="65">
        <v>222000</v>
      </c>
      <c r="M799" t="s">
        <v>875</v>
      </c>
    </row>
    <row r="800" spans="12:13" x14ac:dyDescent="0.25">
      <c r="L800" s="65">
        <v>222100</v>
      </c>
      <c r="M800" t="s">
        <v>876</v>
      </c>
    </row>
    <row r="801" spans="12:13" x14ac:dyDescent="0.25">
      <c r="L801" s="65">
        <v>222110</v>
      </c>
      <c r="M801" t="s">
        <v>876</v>
      </c>
    </row>
    <row r="802" spans="12:13" x14ac:dyDescent="0.25">
      <c r="L802" s="65">
        <v>222111</v>
      </c>
      <c r="M802" t="s">
        <v>876</v>
      </c>
    </row>
    <row r="803" spans="12:13" x14ac:dyDescent="0.25">
      <c r="L803" s="65">
        <v>222200</v>
      </c>
      <c r="M803" t="s">
        <v>877</v>
      </c>
    </row>
    <row r="804" spans="12:13" x14ac:dyDescent="0.25">
      <c r="L804" s="65">
        <v>222210</v>
      </c>
      <c r="M804" t="s">
        <v>878</v>
      </c>
    </row>
    <row r="805" spans="12:13" x14ac:dyDescent="0.25">
      <c r="L805" s="65">
        <v>222211</v>
      </c>
      <c r="M805" t="s">
        <v>878</v>
      </c>
    </row>
    <row r="806" spans="12:13" x14ac:dyDescent="0.25">
      <c r="L806" s="65">
        <v>222220</v>
      </c>
      <c r="M806" t="s">
        <v>879</v>
      </c>
    </row>
    <row r="807" spans="12:13" x14ac:dyDescent="0.25">
      <c r="L807" s="65">
        <v>222221</v>
      </c>
      <c r="M807" t="s">
        <v>879</v>
      </c>
    </row>
    <row r="808" spans="12:13" x14ac:dyDescent="0.25">
      <c r="L808" s="65">
        <v>222290</v>
      </c>
      <c r="M808" t="s">
        <v>880</v>
      </c>
    </row>
    <row r="809" spans="12:13" x14ac:dyDescent="0.25">
      <c r="L809" s="65">
        <v>222291</v>
      </c>
      <c r="M809" t="s">
        <v>880</v>
      </c>
    </row>
    <row r="810" spans="12:13" x14ac:dyDescent="0.25">
      <c r="L810" s="65">
        <v>222300</v>
      </c>
      <c r="M810" t="s">
        <v>881</v>
      </c>
    </row>
    <row r="811" spans="12:13" x14ac:dyDescent="0.25">
      <c r="L811" s="65">
        <v>222310</v>
      </c>
      <c r="M811" t="s">
        <v>882</v>
      </c>
    </row>
    <row r="812" spans="12:13" x14ac:dyDescent="0.25">
      <c r="L812" s="65">
        <v>222311</v>
      </c>
      <c r="M812" t="s">
        <v>882</v>
      </c>
    </row>
    <row r="813" spans="12:13" x14ac:dyDescent="0.25">
      <c r="L813" s="65">
        <v>222320</v>
      </c>
      <c r="M813" t="s">
        <v>883</v>
      </c>
    </row>
    <row r="814" spans="12:13" x14ac:dyDescent="0.25">
      <c r="L814" s="65">
        <v>222321</v>
      </c>
      <c r="M814" t="s">
        <v>883</v>
      </c>
    </row>
    <row r="815" spans="12:13" x14ac:dyDescent="0.25">
      <c r="L815" s="65">
        <v>222330</v>
      </c>
      <c r="M815" t="s">
        <v>884</v>
      </c>
    </row>
    <row r="816" spans="12:13" x14ac:dyDescent="0.25">
      <c r="L816" s="65">
        <v>222331</v>
      </c>
      <c r="M816" t="s">
        <v>884</v>
      </c>
    </row>
    <row r="817" spans="12:13" x14ac:dyDescent="0.25">
      <c r="L817" s="65">
        <v>222340</v>
      </c>
      <c r="M817" t="s">
        <v>885</v>
      </c>
    </row>
    <row r="818" spans="12:13" x14ac:dyDescent="0.25">
      <c r="L818" s="65">
        <v>222341</v>
      </c>
      <c r="M818" t="s">
        <v>885</v>
      </c>
    </row>
    <row r="819" spans="12:13" x14ac:dyDescent="0.25">
      <c r="L819" s="65">
        <v>222350</v>
      </c>
      <c r="M819" t="s">
        <v>886</v>
      </c>
    </row>
    <row r="820" spans="12:13" x14ac:dyDescent="0.25">
      <c r="L820" s="65">
        <v>222351</v>
      </c>
      <c r="M820" t="s">
        <v>886</v>
      </c>
    </row>
    <row r="821" spans="12:13" x14ac:dyDescent="0.25">
      <c r="L821" s="65">
        <v>222390</v>
      </c>
      <c r="M821" t="s">
        <v>887</v>
      </c>
    </row>
    <row r="822" spans="12:13" x14ac:dyDescent="0.25">
      <c r="L822" s="65">
        <v>222391</v>
      </c>
      <c r="M822" t="s">
        <v>887</v>
      </c>
    </row>
    <row r="823" spans="12:13" x14ac:dyDescent="0.25">
      <c r="L823" s="65">
        <v>222400</v>
      </c>
      <c r="M823" t="s">
        <v>888</v>
      </c>
    </row>
    <row r="824" spans="12:13" x14ac:dyDescent="0.25">
      <c r="L824" s="65">
        <v>222410</v>
      </c>
      <c r="M824" t="s">
        <v>889</v>
      </c>
    </row>
    <row r="825" spans="12:13" x14ac:dyDescent="0.25">
      <c r="L825" s="65">
        <v>222411</v>
      </c>
      <c r="M825" t="s">
        <v>889</v>
      </c>
    </row>
    <row r="826" spans="12:13" x14ac:dyDescent="0.25">
      <c r="L826" s="65">
        <v>222490</v>
      </c>
      <c r="M826" t="s">
        <v>890</v>
      </c>
    </row>
    <row r="827" spans="12:13" x14ac:dyDescent="0.25">
      <c r="L827" s="65">
        <v>222491</v>
      </c>
      <c r="M827" t="s">
        <v>890</v>
      </c>
    </row>
    <row r="828" spans="12:13" x14ac:dyDescent="0.25">
      <c r="L828" s="65">
        <v>222500</v>
      </c>
      <c r="M828" t="s">
        <v>891</v>
      </c>
    </row>
    <row r="829" spans="12:13" x14ac:dyDescent="0.25">
      <c r="L829" s="65">
        <v>222510</v>
      </c>
      <c r="M829" t="s">
        <v>891</v>
      </c>
    </row>
    <row r="830" spans="12:13" x14ac:dyDescent="0.25">
      <c r="L830" s="65">
        <v>222511</v>
      </c>
      <c r="M830" t="s">
        <v>891</v>
      </c>
    </row>
    <row r="831" spans="12:13" x14ac:dyDescent="0.25">
      <c r="L831" s="65">
        <v>222600</v>
      </c>
      <c r="M831" t="s">
        <v>892</v>
      </c>
    </row>
    <row r="832" spans="12:13" x14ac:dyDescent="0.25">
      <c r="L832" s="65">
        <v>222610</v>
      </c>
      <c r="M832" t="s">
        <v>892</v>
      </c>
    </row>
    <row r="833" spans="12:13" x14ac:dyDescent="0.25">
      <c r="L833" s="65">
        <v>222611</v>
      </c>
      <c r="M833" t="s">
        <v>892</v>
      </c>
    </row>
    <row r="834" spans="12:13" x14ac:dyDescent="0.25">
      <c r="L834" s="65">
        <v>223000</v>
      </c>
      <c r="M834" t="s">
        <v>893</v>
      </c>
    </row>
    <row r="835" spans="12:13" x14ac:dyDescent="0.25">
      <c r="L835" s="65">
        <v>223100</v>
      </c>
      <c r="M835" t="s">
        <v>893</v>
      </c>
    </row>
    <row r="836" spans="12:13" x14ac:dyDescent="0.25">
      <c r="L836" s="65">
        <v>223110</v>
      </c>
      <c r="M836" t="s">
        <v>893</v>
      </c>
    </row>
    <row r="837" spans="12:13" x14ac:dyDescent="0.25">
      <c r="L837" s="65">
        <v>223111</v>
      </c>
      <c r="M837" t="s">
        <v>893</v>
      </c>
    </row>
    <row r="838" spans="12:13" x14ac:dyDescent="0.25">
      <c r="L838" s="65">
        <v>230000</v>
      </c>
      <c r="M838" t="s">
        <v>894</v>
      </c>
    </row>
    <row r="839" spans="12:13" x14ac:dyDescent="0.25">
      <c r="L839" s="65">
        <v>231000</v>
      </c>
      <c r="M839" t="s">
        <v>895</v>
      </c>
    </row>
    <row r="840" spans="12:13" x14ac:dyDescent="0.25">
      <c r="L840" s="65">
        <v>231100</v>
      </c>
      <c r="M840" t="s">
        <v>896</v>
      </c>
    </row>
    <row r="841" spans="12:13" x14ac:dyDescent="0.25">
      <c r="L841" s="65">
        <v>231110</v>
      </c>
      <c r="M841" t="s">
        <v>896</v>
      </c>
    </row>
    <row r="842" spans="12:13" x14ac:dyDescent="0.25">
      <c r="L842" s="65">
        <v>231111</v>
      </c>
      <c r="M842" t="s">
        <v>896</v>
      </c>
    </row>
    <row r="843" spans="12:13" x14ac:dyDescent="0.25">
      <c r="L843" s="65">
        <v>231200</v>
      </c>
      <c r="M843" t="s">
        <v>897</v>
      </c>
    </row>
    <row r="844" spans="12:13" x14ac:dyDescent="0.25">
      <c r="L844" s="65">
        <v>231210</v>
      </c>
      <c r="M844" t="s">
        <v>897</v>
      </c>
    </row>
    <row r="845" spans="12:13" x14ac:dyDescent="0.25">
      <c r="L845" s="65">
        <v>231211</v>
      </c>
      <c r="M845" t="s">
        <v>897</v>
      </c>
    </row>
    <row r="846" spans="12:13" x14ac:dyDescent="0.25">
      <c r="L846" s="65">
        <v>231300</v>
      </c>
      <c r="M846" t="s">
        <v>898</v>
      </c>
    </row>
    <row r="847" spans="12:13" x14ac:dyDescent="0.25">
      <c r="L847" s="65">
        <v>231310</v>
      </c>
      <c r="M847" t="s">
        <v>898</v>
      </c>
    </row>
    <row r="848" spans="12:13" x14ac:dyDescent="0.25">
      <c r="L848" s="65">
        <v>231311</v>
      </c>
      <c r="M848" t="s">
        <v>898</v>
      </c>
    </row>
    <row r="849" spans="12:13" x14ac:dyDescent="0.25">
      <c r="L849" s="65">
        <v>231400</v>
      </c>
      <c r="M849" t="s">
        <v>899</v>
      </c>
    </row>
    <row r="850" spans="12:13" x14ac:dyDescent="0.25">
      <c r="L850" s="65">
        <v>231410</v>
      </c>
      <c r="M850" t="s">
        <v>899</v>
      </c>
    </row>
    <row r="851" spans="12:13" x14ac:dyDescent="0.25">
      <c r="L851" s="65">
        <v>231411</v>
      </c>
      <c r="M851" t="s">
        <v>899</v>
      </c>
    </row>
    <row r="852" spans="12:13" x14ac:dyDescent="0.25">
      <c r="L852" s="65">
        <v>231500</v>
      </c>
      <c r="M852" t="s">
        <v>900</v>
      </c>
    </row>
    <row r="853" spans="12:13" x14ac:dyDescent="0.25">
      <c r="L853" s="65">
        <v>231510</v>
      </c>
      <c r="M853" t="s">
        <v>900</v>
      </c>
    </row>
    <row r="854" spans="12:13" x14ac:dyDescent="0.25">
      <c r="L854" s="65">
        <v>231511</v>
      </c>
      <c r="M854" t="s">
        <v>900</v>
      </c>
    </row>
    <row r="855" spans="12:13" x14ac:dyDescent="0.25">
      <c r="L855" s="65">
        <v>232000</v>
      </c>
      <c r="M855" t="s">
        <v>901</v>
      </c>
    </row>
    <row r="856" spans="12:13" x14ac:dyDescent="0.25">
      <c r="L856" s="65">
        <v>232100</v>
      </c>
      <c r="M856" t="s">
        <v>902</v>
      </c>
    </row>
    <row r="857" spans="12:13" x14ac:dyDescent="0.25">
      <c r="L857" s="65">
        <v>232110</v>
      </c>
      <c r="M857" t="s">
        <v>902</v>
      </c>
    </row>
    <row r="858" spans="12:13" x14ac:dyDescent="0.25">
      <c r="L858" s="65">
        <v>232111</v>
      </c>
      <c r="M858" t="s">
        <v>902</v>
      </c>
    </row>
    <row r="859" spans="12:13" x14ac:dyDescent="0.25">
      <c r="L859" s="65">
        <v>232200</v>
      </c>
      <c r="M859" t="s">
        <v>903</v>
      </c>
    </row>
    <row r="860" spans="12:13" x14ac:dyDescent="0.25">
      <c r="L860" s="65">
        <v>232210</v>
      </c>
      <c r="M860" t="s">
        <v>903</v>
      </c>
    </row>
    <row r="861" spans="12:13" x14ac:dyDescent="0.25">
      <c r="L861" s="65">
        <v>232211</v>
      </c>
      <c r="M861" t="s">
        <v>903</v>
      </c>
    </row>
    <row r="862" spans="12:13" x14ac:dyDescent="0.25">
      <c r="L862" s="65">
        <v>232300</v>
      </c>
      <c r="M862" t="s">
        <v>904</v>
      </c>
    </row>
    <row r="863" spans="12:13" x14ac:dyDescent="0.25">
      <c r="L863" s="65">
        <v>232310</v>
      </c>
      <c r="M863" t="s">
        <v>904</v>
      </c>
    </row>
    <row r="864" spans="12:13" x14ac:dyDescent="0.25">
      <c r="L864" s="65">
        <v>232311</v>
      </c>
      <c r="M864" t="s">
        <v>904</v>
      </c>
    </row>
    <row r="865" spans="12:13" x14ac:dyDescent="0.25">
      <c r="L865" s="65">
        <v>232400</v>
      </c>
      <c r="M865" t="s">
        <v>905</v>
      </c>
    </row>
    <row r="866" spans="12:13" x14ac:dyDescent="0.25">
      <c r="L866" s="65">
        <v>232410</v>
      </c>
      <c r="M866" t="s">
        <v>905</v>
      </c>
    </row>
    <row r="867" spans="12:13" x14ac:dyDescent="0.25">
      <c r="L867" s="65">
        <v>232411</v>
      </c>
      <c r="M867" t="s">
        <v>905</v>
      </c>
    </row>
    <row r="868" spans="12:13" x14ac:dyDescent="0.25">
      <c r="L868" s="65">
        <v>232500</v>
      </c>
      <c r="M868" t="s">
        <v>906</v>
      </c>
    </row>
    <row r="869" spans="12:13" x14ac:dyDescent="0.25">
      <c r="L869" s="65">
        <v>232510</v>
      </c>
      <c r="M869" t="s">
        <v>906</v>
      </c>
    </row>
    <row r="870" spans="12:13" x14ac:dyDescent="0.25">
      <c r="L870" s="65">
        <v>232511</v>
      </c>
      <c r="M870" t="s">
        <v>906</v>
      </c>
    </row>
    <row r="871" spans="12:13" x14ac:dyDescent="0.25">
      <c r="L871" s="65">
        <v>233000</v>
      </c>
      <c r="M871" t="s">
        <v>907</v>
      </c>
    </row>
    <row r="872" spans="12:13" x14ac:dyDescent="0.25">
      <c r="L872" s="65">
        <v>233100</v>
      </c>
      <c r="M872" t="s">
        <v>908</v>
      </c>
    </row>
    <row r="873" spans="12:13" x14ac:dyDescent="0.25">
      <c r="L873" s="65">
        <v>233110</v>
      </c>
      <c r="M873" t="s">
        <v>908</v>
      </c>
    </row>
    <row r="874" spans="12:13" x14ac:dyDescent="0.25">
      <c r="L874" s="65">
        <v>233111</v>
      </c>
      <c r="M874" t="s">
        <v>908</v>
      </c>
    </row>
    <row r="875" spans="12:13" x14ac:dyDescent="0.25">
      <c r="L875" s="65">
        <v>233200</v>
      </c>
      <c r="M875" t="s">
        <v>909</v>
      </c>
    </row>
    <row r="876" spans="12:13" x14ac:dyDescent="0.25">
      <c r="L876" s="65">
        <v>233210</v>
      </c>
      <c r="M876" t="s">
        <v>909</v>
      </c>
    </row>
    <row r="877" spans="12:13" x14ac:dyDescent="0.25">
      <c r="L877" s="65">
        <v>233211</v>
      </c>
      <c r="M877" t="s">
        <v>909</v>
      </c>
    </row>
    <row r="878" spans="12:13" x14ac:dyDescent="0.25">
      <c r="L878" s="65">
        <v>233300</v>
      </c>
      <c r="M878" t="s">
        <v>910</v>
      </c>
    </row>
    <row r="879" spans="12:13" x14ac:dyDescent="0.25">
      <c r="L879" s="65">
        <v>233310</v>
      </c>
      <c r="M879" t="s">
        <v>910</v>
      </c>
    </row>
    <row r="880" spans="12:13" x14ac:dyDescent="0.25">
      <c r="L880" s="65">
        <v>233311</v>
      </c>
      <c r="M880" t="s">
        <v>910</v>
      </c>
    </row>
    <row r="881" spans="12:13" x14ac:dyDescent="0.25">
      <c r="L881" s="65">
        <v>233400</v>
      </c>
      <c r="M881" t="s">
        <v>911</v>
      </c>
    </row>
    <row r="882" spans="12:13" x14ac:dyDescent="0.25">
      <c r="L882" s="65">
        <v>233410</v>
      </c>
      <c r="M882" t="s">
        <v>911</v>
      </c>
    </row>
    <row r="883" spans="12:13" x14ac:dyDescent="0.25">
      <c r="L883" s="65">
        <v>233411</v>
      </c>
      <c r="M883" t="s">
        <v>911</v>
      </c>
    </row>
    <row r="884" spans="12:13" x14ac:dyDescent="0.25">
      <c r="L884" s="65">
        <v>233500</v>
      </c>
      <c r="M884" t="s">
        <v>912</v>
      </c>
    </row>
    <row r="885" spans="12:13" x14ac:dyDescent="0.25">
      <c r="L885" s="65">
        <v>233510</v>
      </c>
      <c r="M885" t="s">
        <v>912</v>
      </c>
    </row>
    <row r="886" spans="12:13" x14ac:dyDescent="0.25">
      <c r="L886" s="65">
        <v>233511</v>
      </c>
      <c r="M886" t="s">
        <v>912</v>
      </c>
    </row>
    <row r="887" spans="12:13" x14ac:dyDescent="0.25">
      <c r="L887" s="65">
        <v>234000</v>
      </c>
      <c r="M887" t="s">
        <v>913</v>
      </c>
    </row>
    <row r="888" spans="12:13" x14ac:dyDescent="0.25">
      <c r="L888" s="65">
        <v>234100</v>
      </c>
      <c r="M888" t="s">
        <v>914</v>
      </c>
    </row>
    <row r="889" spans="12:13" x14ac:dyDescent="0.25">
      <c r="L889" s="65">
        <v>234110</v>
      </c>
      <c r="M889" t="s">
        <v>914</v>
      </c>
    </row>
    <row r="890" spans="12:13" x14ac:dyDescent="0.25">
      <c r="L890" s="65">
        <v>234111</v>
      </c>
      <c r="M890" t="s">
        <v>914</v>
      </c>
    </row>
    <row r="891" spans="12:13" x14ac:dyDescent="0.25">
      <c r="L891" s="65">
        <v>234200</v>
      </c>
      <c r="M891" t="s">
        <v>915</v>
      </c>
    </row>
    <row r="892" spans="12:13" x14ac:dyDescent="0.25">
      <c r="L892" s="65">
        <v>234210</v>
      </c>
      <c r="M892" t="s">
        <v>915</v>
      </c>
    </row>
    <row r="893" spans="12:13" x14ac:dyDescent="0.25">
      <c r="L893" s="65">
        <v>234211</v>
      </c>
      <c r="M893" t="s">
        <v>915</v>
      </c>
    </row>
    <row r="894" spans="12:13" x14ac:dyDescent="0.25">
      <c r="L894" s="65">
        <v>234300</v>
      </c>
      <c r="M894" t="s">
        <v>916</v>
      </c>
    </row>
    <row r="895" spans="12:13" x14ac:dyDescent="0.25">
      <c r="L895" s="65">
        <v>234310</v>
      </c>
      <c r="M895" t="s">
        <v>916</v>
      </c>
    </row>
    <row r="896" spans="12:13" x14ac:dyDescent="0.25">
      <c r="L896" s="65">
        <v>234311</v>
      </c>
      <c r="M896" t="s">
        <v>916</v>
      </c>
    </row>
    <row r="897" spans="12:13" x14ac:dyDescent="0.25">
      <c r="L897" s="65">
        <v>235000</v>
      </c>
      <c r="M897" t="s">
        <v>917</v>
      </c>
    </row>
    <row r="898" spans="12:13" x14ac:dyDescent="0.25">
      <c r="L898" s="65">
        <v>235100</v>
      </c>
      <c r="M898" t="s">
        <v>918</v>
      </c>
    </row>
    <row r="899" spans="12:13" x14ac:dyDescent="0.25">
      <c r="L899" s="65">
        <v>235110</v>
      </c>
      <c r="M899" t="s">
        <v>918</v>
      </c>
    </row>
    <row r="900" spans="12:13" x14ac:dyDescent="0.25">
      <c r="L900" s="65">
        <v>235111</v>
      </c>
      <c r="M900" t="s">
        <v>918</v>
      </c>
    </row>
    <row r="901" spans="12:13" x14ac:dyDescent="0.25">
      <c r="L901" s="65">
        <v>235200</v>
      </c>
      <c r="M901" t="s">
        <v>919</v>
      </c>
    </row>
    <row r="902" spans="12:13" x14ac:dyDescent="0.25">
      <c r="L902" s="65">
        <v>235210</v>
      </c>
      <c r="M902" t="s">
        <v>919</v>
      </c>
    </row>
    <row r="903" spans="12:13" x14ac:dyDescent="0.25">
      <c r="L903" s="65">
        <v>235211</v>
      </c>
      <c r="M903" t="s">
        <v>919</v>
      </c>
    </row>
    <row r="904" spans="12:13" x14ac:dyDescent="0.25">
      <c r="L904" s="65">
        <v>235300</v>
      </c>
      <c r="M904" t="s">
        <v>920</v>
      </c>
    </row>
    <row r="905" spans="12:13" x14ac:dyDescent="0.25">
      <c r="L905" s="65">
        <v>235310</v>
      </c>
      <c r="M905" t="s">
        <v>920</v>
      </c>
    </row>
    <row r="906" spans="12:13" x14ac:dyDescent="0.25">
      <c r="L906" s="65">
        <v>235311</v>
      </c>
      <c r="M906" t="s">
        <v>920</v>
      </c>
    </row>
    <row r="907" spans="12:13" x14ac:dyDescent="0.25">
      <c r="L907" s="65">
        <v>235400</v>
      </c>
      <c r="M907" t="s">
        <v>921</v>
      </c>
    </row>
    <row r="908" spans="12:13" x14ac:dyDescent="0.25">
      <c r="L908" s="65">
        <v>235410</v>
      </c>
      <c r="M908" t="s">
        <v>921</v>
      </c>
    </row>
    <row r="909" spans="12:13" x14ac:dyDescent="0.25">
      <c r="L909" s="65">
        <v>235411</v>
      </c>
      <c r="M909" t="s">
        <v>921</v>
      </c>
    </row>
    <row r="910" spans="12:13" x14ac:dyDescent="0.25">
      <c r="L910" s="65">
        <v>235500</v>
      </c>
      <c r="M910" t="s">
        <v>922</v>
      </c>
    </row>
    <row r="911" spans="12:13" x14ac:dyDescent="0.25">
      <c r="L911" s="65">
        <v>235510</v>
      </c>
      <c r="M911" t="s">
        <v>922</v>
      </c>
    </row>
    <row r="912" spans="12:13" x14ac:dyDescent="0.25">
      <c r="L912" s="65">
        <v>235511</v>
      </c>
      <c r="M912" t="s">
        <v>922</v>
      </c>
    </row>
    <row r="913" spans="12:13" x14ac:dyDescent="0.25">
      <c r="L913" s="65">
        <v>236000</v>
      </c>
      <c r="M913" t="s">
        <v>923</v>
      </c>
    </row>
    <row r="914" spans="12:13" x14ac:dyDescent="0.25">
      <c r="L914" s="65">
        <v>236100</v>
      </c>
      <c r="M914" t="s">
        <v>924</v>
      </c>
    </row>
    <row r="915" spans="12:13" x14ac:dyDescent="0.25">
      <c r="L915" s="65">
        <v>236110</v>
      </c>
      <c r="M915" t="s">
        <v>924</v>
      </c>
    </row>
    <row r="916" spans="12:13" x14ac:dyDescent="0.25">
      <c r="L916" s="65">
        <v>236111</v>
      </c>
      <c r="M916" t="s">
        <v>924</v>
      </c>
    </row>
    <row r="917" spans="12:13" x14ac:dyDescent="0.25">
      <c r="L917" s="65">
        <v>236120</v>
      </c>
      <c r="M917" t="s">
        <v>925</v>
      </c>
    </row>
    <row r="918" spans="12:13" x14ac:dyDescent="0.25">
      <c r="L918" s="65">
        <v>236121</v>
      </c>
      <c r="M918" t="s">
        <v>926</v>
      </c>
    </row>
    <row r="919" spans="12:13" x14ac:dyDescent="0.25">
      <c r="L919" s="65">
        <v>236122</v>
      </c>
      <c r="M919" t="s">
        <v>927</v>
      </c>
    </row>
    <row r="920" spans="12:13" x14ac:dyDescent="0.25">
      <c r="L920" s="65">
        <v>236123</v>
      </c>
      <c r="M920" t="s">
        <v>928</v>
      </c>
    </row>
    <row r="921" spans="12:13" x14ac:dyDescent="0.25">
      <c r="L921" s="65">
        <v>236200</v>
      </c>
      <c r="M921" t="s">
        <v>929</v>
      </c>
    </row>
    <row r="922" spans="12:13" x14ac:dyDescent="0.25">
      <c r="L922" s="65">
        <v>236210</v>
      </c>
      <c r="M922" t="s">
        <v>929</v>
      </c>
    </row>
    <row r="923" spans="12:13" x14ac:dyDescent="0.25">
      <c r="L923" s="65">
        <v>236211</v>
      </c>
      <c r="M923" t="s">
        <v>929</v>
      </c>
    </row>
    <row r="924" spans="12:13" x14ac:dyDescent="0.25">
      <c r="L924" s="65">
        <v>236300</v>
      </c>
      <c r="M924" t="s">
        <v>930</v>
      </c>
    </row>
    <row r="925" spans="12:13" x14ac:dyDescent="0.25">
      <c r="L925" s="65">
        <v>236310</v>
      </c>
      <c r="M925" t="s">
        <v>930</v>
      </c>
    </row>
    <row r="926" spans="12:13" x14ac:dyDescent="0.25">
      <c r="L926" s="65">
        <v>236311</v>
      </c>
      <c r="M926" t="s">
        <v>930</v>
      </c>
    </row>
    <row r="927" spans="12:13" x14ac:dyDescent="0.25">
      <c r="L927" s="65">
        <v>236400</v>
      </c>
      <c r="M927" t="s">
        <v>931</v>
      </c>
    </row>
    <row r="928" spans="12:13" x14ac:dyDescent="0.25">
      <c r="L928" s="65">
        <v>236410</v>
      </c>
      <c r="M928" t="s">
        <v>931</v>
      </c>
    </row>
    <row r="929" spans="12:13" x14ac:dyDescent="0.25">
      <c r="L929" s="65">
        <v>236411</v>
      </c>
      <c r="M929" t="s">
        <v>931</v>
      </c>
    </row>
    <row r="930" spans="12:13" x14ac:dyDescent="0.25">
      <c r="L930" s="65">
        <v>236500</v>
      </c>
      <c r="M930" t="s">
        <v>932</v>
      </c>
    </row>
    <row r="931" spans="12:13" x14ac:dyDescent="0.25">
      <c r="L931" s="65">
        <v>236510</v>
      </c>
      <c r="M931" t="s">
        <v>932</v>
      </c>
    </row>
    <row r="932" spans="12:13" x14ac:dyDescent="0.25">
      <c r="L932" s="65">
        <v>236511</v>
      </c>
      <c r="M932" t="s">
        <v>932</v>
      </c>
    </row>
    <row r="933" spans="12:13" x14ac:dyDescent="0.25">
      <c r="L933" s="65">
        <v>237000</v>
      </c>
      <c r="M933" t="s">
        <v>933</v>
      </c>
    </row>
    <row r="934" spans="12:13" x14ac:dyDescent="0.25">
      <c r="L934" s="65">
        <v>237100</v>
      </c>
      <c r="M934" t="s">
        <v>934</v>
      </c>
    </row>
    <row r="935" spans="12:13" x14ac:dyDescent="0.25">
      <c r="L935" s="65">
        <v>237110</v>
      </c>
      <c r="M935" t="s">
        <v>934</v>
      </c>
    </row>
    <row r="936" spans="12:13" x14ac:dyDescent="0.25">
      <c r="L936" s="65">
        <v>237111</v>
      </c>
      <c r="M936" t="s">
        <v>935</v>
      </c>
    </row>
    <row r="937" spans="12:13" x14ac:dyDescent="0.25">
      <c r="L937" s="65">
        <v>237112</v>
      </c>
      <c r="M937" t="s">
        <v>936</v>
      </c>
    </row>
    <row r="938" spans="12:13" x14ac:dyDescent="0.25">
      <c r="L938" s="65">
        <v>237200</v>
      </c>
      <c r="M938" t="s">
        <v>937</v>
      </c>
    </row>
    <row r="939" spans="12:13" x14ac:dyDescent="0.25">
      <c r="L939" s="65">
        <v>237210</v>
      </c>
      <c r="M939" t="s">
        <v>937</v>
      </c>
    </row>
    <row r="940" spans="12:13" x14ac:dyDescent="0.25">
      <c r="L940" s="65">
        <v>237211</v>
      </c>
      <c r="M940" t="s">
        <v>937</v>
      </c>
    </row>
    <row r="941" spans="12:13" x14ac:dyDescent="0.25">
      <c r="L941" s="65">
        <v>237300</v>
      </c>
      <c r="M941" t="s">
        <v>938</v>
      </c>
    </row>
    <row r="942" spans="12:13" x14ac:dyDescent="0.25">
      <c r="L942" s="65">
        <v>237310</v>
      </c>
      <c r="M942" t="s">
        <v>938</v>
      </c>
    </row>
    <row r="943" spans="12:13" x14ac:dyDescent="0.25">
      <c r="L943" s="65">
        <v>237311</v>
      </c>
      <c r="M943" t="s">
        <v>938</v>
      </c>
    </row>
    <row r="944" spans="12:13" x14ac:dyDescent="0.25">
      <c r="L944" s="65">
        <v>237400</v>
      </c>
      <c r="M944" t="s">
        <v>939</v>
      </c>
    </row>
    <row r="945" spans="12:13" x14ac:dyDescent="0.25">
      <c r="L945" s="65">
        <v>237410</v>
      </c>
      <c r="M945" t="s">
        <v>939</v>
      </c>
    </row>
    <row r="946" spans="12:13" x14ac:dyDescent="0.25">
      <c r="L946" s="65">
        <v>237411</v>
      </c>
      <c r="M946" t="s">
        <v>939</v>
      </c>
    </row>
    <row r="947" spans="12:13" x14ac:dyDescent="0.25">
      <c r="L947" s="65">
        <v>237500</v>
      </c>
      <c r="M947" t="s">
        <v>940</v>
      </c>
    </row>
    <row r="948" spans="12:13" x14ac:dyDescent="0.25">
      <c r="L948" s="65">
        <v>237510</v>
      </c>
      <c r="M948" t="s">
        <v>940</v>
      </c>
    </row>
    <row r="949" spans="12:13" x14ac:dyDescent="0.25">
      <c r="L949" s="65">
        <v>237511</v>
      </c>
      <c r="M949" t="s">
        <v>940</v>
      </c>
    </row>
    <row r="950" spans="12:13" x14ac:dyDescent="0.25">
      <c r="L950" s="65">
        <v>237600</v>
      </c>
      <c r="M950" t="s">
        <v>941</v>
      </c>
    </row>
    <row r="951" spans="12:13" x14ac:dyDescent="0.25">
      <c r="L951" s="65">
        <v>237610</v>
      </c>
      <c r="M951" t="s">
        <v>941</v>
      </c>
    </row>
    <row r="952" spans="12:13" x14ac:dyDescent="0.25">
      <c r="L952" s="65">
        <v>237611</v>
      </c>
      <c r="M952" t="s">
        <v>941</v>
      </c>
    </row>
    <row r="953" spans="12:13" x14ac:dyDescent="0.25">
      <c r="L953" s="65">
        <v>237700</v>
      </c>
      <c r="M953" t="s">
        <v>942</v>
      </c>
    </row>
    <row r="954" spans="12:13" x14ac:dyDescent="0.25">
      <c r="L954" s="65">
        <v>237710</v>
      </c>
      <c r="M954" t="s">
        <v>942</v>
      </c>
    </row>
    <row r="955" spans="12:13" x14ac:dyDescent="0.25">
      <c r="L955" s="65">
        <v>237711</v>
      </c>
      <c r="M955" t="s">
        <v>942</v>
      </c>
    </row>
    <row r="956" spans="12:13" x14ac:dyDescent="0.25">
      <c r="L956" s="65">
        <v>238000</v>
      </c>
      <c r="M956" t="s">
        <v>943</v>
      </c>
    </row>
    <row r="957" spans="12:13" x14ac:dyDescent="0.25">
      <c r="L957" s="65">
        <v>238100</v>
      </c>
      <c r="M957" t="s">
        <v>944</v>
      </c>
    </row>
    <row r="958" spans="12:13" x14ac:dyDescent="0.25">
      <c r="L958" s="65">
        <v>238110</v>
      </c>
      <c r="M958" t="s">
        <v>944</v>
      </c>
    </row>
    <row r="959" spans="12:13" x14ac:dyDescent="0.25">
      <c r="L959" s="65">
        <v>238111</v>
      </c>
      <c r="M959" t="s">
        <v>944</v>
      </c>
    </row>
    <row r="960" spans="12:13" x14ac:dyDescent="0.25">
      <c r="L960" s="65">
        <v>238200</v>
      </c>
      <c r="M960" t="s">
        <v>945</v>
      </c>
    </row>
    <row r="961" spans="12:13" x14ac:dyDescent="0.25">
      <c r="L961" s="65">
        <v>238210</v>
      </c>
      <c r="M961" t="s">
        <v>945</v>
      </c>
    </row>
    <row r="962" spans="12:13" x14ac:dyDescent="0.25">
      <c r="L962" s="65">
        <v>238211</v>
      </c>
      <c r="M962" t="s">
        <v>945</v>
      </c>
    </row>
    <row r="963" spans="12:13" x14ac:dyDescent="0.25">
      <c r="L963" s="65">
        <v>238300</v>
      </c>
      <c r="M963" t="s">
        <v>946</v>
      </c>
    </row>
    <row r="964" spans="12:13" x14ac:dyDescent="0.25">
      <c r="L964" s="65">
        <v>238310</v>
      </c>
      <c r="M964" t="s">
        <v>946</v>
      </c>
    </row>
    <row r="965" spans="12:13" x14ac:dyDescent="0.25">
      <c r="L965" s="65">
        <v>238311</v>
      </c>
      <c r="M965" t="s">
        <v>946</v>
      </c>
    </row>
    <row r="966" spans="12:13" x14ac:dyDescent="0.25">
      <c r="L966" s="65">
        <v>238400</v>
      </c>
      <c r="M966" t="s">
        <v>947</v>
      </c>
    </row>
    <row r="967" spans="12:13" x14ac:dyDescent="0.25">
      <c r="L967" s="65">
        <v>238410</v>
      </c>
      <c r="M967" t="s">
        <v>947</v>
      </c>
    </row>
    <row r="968" spans="12:13" x14ac:dyDescent="0.25">
      <c r="L968" s="65">
        <v>238411</v>
      </c>
      <c r="M968" t="s">
        <v>947</v>
      </c>
    </row>
    <row r="969" spans="12:13" x14ac:dyDescent="0.25">
      <c r="L969" s="65">
        <v>238500</v>
      </c>
      <c r="M969" t="s">
        <v>948</v>
      </c>
    </row>
    <row r="970" spans="12:13" x14ac:dyDescent="0.25">
      <c r="L970" s="65">
        <v>238510</v>
      </c>
      <c r="M970" t="s">
        <v>948</v>
      </c>
    </row>
    <row r="971" spans="12:13" x14ac:dyDescent="0.25">
      <c r="L971" s="65">
        <v>238511</v>
      </c>
      <c r="M971" t="s">
        <v>948</v>
      </c>
    </row>
    <row r="972" spans="12:13" x14ac:dyDescent="0.25">
      <c r="L972" s="65">
        <v>239000</v>
      </c>
      <c r="M972" t="s">
        <v>949</v>
      </c>
    </row>
    <row r="973" spans="12:13" x14ac:dyDescent="0.25">
      <c r="L973" s="65">
        <v>239100</v>
      </c>
      <c r="M973" t="s">
        <v>950</v>
      </c>
    </row>
    <row r="974" spans="12:13" x14ac:dyDescent="0.25">
      <c r="L974" s="65">
        <v>239110</v>
      </c>
      <c r="M974" t="s">
        <v>950</v>
      </c>
    </row>
    <row r="975" spans="12:13" x14ac:dyDescent="0.25">
      <c r="L975" s="65">
        <v>239111</v>
      </c>
      <c r="M975" t="s">
        <v>950</v>
      </c>
    </row>
    <row r="976" spans="12:13" x14ac:dyDescent="0.25">
      <c r="L976" s="65">
        <v>239200</v>
      </c>
      <c r="M976" t="s">
        <v>951</v>
      </c>
    </row>
    <row r="977" spans="12:13" x14ac:dyDescent="0.25">
      <c r="L977" s="65">
        <v>239210</v>
      </c>
      <c r="M977" t="s">
        <v>951</v>
      </c>
    </row>
    <row r="978" spans="12:13" x14ac:dyDescent="0.25">
      <c r="L978" s="65">
        <v>239211</v>
      </c>
      <c r="M978" t="s">
        <v>951</v>
      </c>
    </row>
    <row r="979" spans="12:13" x14ac:dyDescent="0.25">
      <c r="L979" s="65">
        <v>239300</v>
      </c>
      <c r="M979" t="s">
        <v>952</v>
      </c>
    </row>
    <row r="980" spans="12:13" x14ac:dyDescent="0.25">
      <c r="L980" s="65">
        <v>239310</v>
      </c>
      <c r="M980" t="s">
        <v>952</v>
      </c>
    </row>
    <row r="981" spans="12:13" x14ac:dyDescent="0.25">
      <c r="L981" s="65">
        <v>239311</v>
      </c>
      <c r="M981" t="s">
        <v>952</v>
      </c>
    </row>
    <row r="982" spans="12:13" x14ac:dyDescent="0.25">
      <c r="L982" s="65">
        <v>239400</v>
      </c>
      <c r="M982" t="s">
        <v>953</v>
      </c>
    </row>
    <row r="983" spans="12:13" x14ac:dyDescent="0.25">
      <c r="L983" s="65">
        <v>239410</v>
      </c>
      <c r="M983" t="s">
        <v>953</v>
      </c>
    </row>
    <row r="984" spans="12:13" x14ac:dyDescent="0.25">
      <c r="L984" s="65">
        <v>239411</v>
      </c>
      <c r="M984" t="s">
        <v>953</v>
      </c>
    </row>
    <row r="985" spans="12:13" x14ac:dyDescent="0.25">
      <c r="L985" s="65">
        <v>239500</v>
      </c>
      <c r="M985" t="s">
        <v>954</v>
      </c>
    </row>
    <row r="986" spans="12:13" x14ac:dyDescent="0.25">
      <c r="L986" s="65">
        <v>239510</v>
      </c>
      <c r="M986" t="s">
        <v>954</v>
      </c>
    </row>
    <row r="987" spans="12:13" x14ac:dyDescent="0.25">
      <c r="L987" s="65">
        <v>239511</v>
      </c>
      <c r="M987" t="s">
        <v>954</v>
      </c>
    </row>
    <row r="988" spans="12:13" x14ac:dyDescent="0.25">
      <c r="L988" s="65">
        <v>240000</v>
      </c>
      <c r="M988" t="s">
        <v>955</v>
      </c>
    </row>
    <row r="989" spans="12:13" x14ac:dyDescent="0.25">
      <c r="L989" s="65">
        <v>241000</v>
      </c>
      <c r="M989" t="s">
        <v>956</v>
      </c>
    </row>
    <row r="990" spans="12:13" x14ac:dyDescent="0.25">
      <c r="L990" s="65">
        <v>241100</v>
      </c>
      <c r="M990" t="s">
        <v>957</v>
      </c>
    </row>
    <row r="991" spans="12:13" x14ac:dyDescent="0.25">
      <c r="L991" s="65">
        <v>241110</v>
      </c>
      <c r="M991" t="s">
        <v>958</v>
      </c>
    </row>
    <row r="992" spans="12:13" x14ac:dyDescent="0.25">
      <c r="L992" s="65">
        <v>241111</v>
      </c>
      <c r="M992" t="s">
        <v>959</v>
      </c>
    </row>
    <row r="993" spans="12:13" x14ac:dyDescent="0.25">
      <c r="L993" s="65">
        <v>241112</v>
      </c>
      <c r="M993" t="s">
        <v>960</v>
      </c>
    </row>
    <row r="994" spans="12:13" x14ac:dyDescent="0.25">
      <c r="L994" s="65">
        <v>241120</v>
      </c>
      <c r="M994" t="s">
        <v>961</v>
      </c>
    </row>
    <row r="995" spans="12:13" x14ac:dyDescent="0.25">
      <c r="L995" s="65">
        <v>241121</v>
      </c>
      <c r="M995" t="s">
        <v>962</v>
      </c>
    </row>
    <row r="996" spans="12:13" x14ac:dyDescent="0.25">
      <c r="L996" s="65">
        <v>241122</v>
      </c>
      <c r="M996" t="s">
        <v>963</v>
      </c>
    </row>
    <row r="997" spans="12:13" x14ac:dyDescent="0.25">
      <c r="L997" s="65">
        <v>241123</v>
      </c>
      <c r="M997" t="s">
        <v>964</v>
      </c>
    </row>
    <row r="998" spans="12:13" x14ac:dyDescent="0.25">
      <c r="L998" s="65">
        <v>241124</v>
      </c>
      <c r="M998" t="s">
        <v>965</v>
      </c>
    </row>
    <row r="999" spans="12:13" x14ac:dyDescent="0.25">
      <c r="L999" s="65">
        <v>241125</v>
      </c>
      <c r="M999" t="s">
        <v>966</v>
      </c>
    </row>
    <row r="1000" spans="12:13" x14ac:dyDescent="0.25">
      <c r="L1000" s="65">
        <v>241130</v>
      </c>
      <c r="M1000" t="s">
        <v>967</v>
      </c>
    </row>
    <row r="1001" spans="12:13" x14ac:dyDescent="0.25">
      <c r="L1001" s="65">
        <v>241131</v>
      </c>
      <c r="M1001" t="s">
        <v>968</v>
      </c>
    </row>
    <row r="1002" spans="12:13" x14ac:dyDescent="0.25">
      <c r="L1002" s="65">
        <v>241132</v>
      </c>
      <c r="M1002" t="s">
        <v>969</v>
      </c>
    </row>
    <row r="1003" spans="12:13" x14ac:dyDescent="0.25">
      <c r="L1003" s="65">
        <v>241140</v>
      </c>
      <c r="M1003" t="s">
        <v>970</v>
      </c>
    </row>
    <row r="1004" spans="12:13" x14ac:dyDescent="0.25">
      <c r="L1004" s="65">
        <v>241141</v>
      </c>
      <c r="M1004" t="s">
        <v>970</v>
      </c>
    </row>
    <row r="1005" spans="12:13" x14ac:dyDescent="0.25">
      <c r="L1005" s="65">
        <v>241150</v>
      </c>
      <c r="M1005" t="s">
        <v>971</v>
      </c>
    </row>
    <row r="1006" spans="12:13" x14ac:dyDescent="0.25">
      <c r="L1006" s="65">
        <v>241151</v>
      </c>
      <c r="M1006" t="s">
        <v>971</v>
      </c>
    </row>
    <row r="1007" spans="12:13" x14ac:dyDescent="0.25">
      <c r="L1007" s="65">
        <v>241160</v>
      </c>
      <c r="M1007" t="s">
        <v>972</v>
      </c>
    </row>
    <row r="1008" spans="12:13" x14ac:dyDescent="0.25">
      <c r="L1008" s="65">
        <v>241161</v>
      </c>
      <c r="M1008" t="s">
        <v>972</v>
      </c>
    </row>
    <row r="1009" spans="12:13" x14ac:dyDescent="0.25">
      <c r="L1009" s="65">
        <v>241170</v>
      </c>
      <c r="M1009" t="s">
        <v>973</v>
      </c>
    </row>
    <row r="1010" spans="12:13" x14ac:dyDescent="0.25">
      <c r="L1010" s="65">
        <v>241171</v>
      </c>
      <c r="M1010" t="s">
        <v>973</v>
      </c>
    </row>
    <row r="1011" spans="12:13" x14ac:dyDescent="0.25">
      <c r="L1011" s="65">
        <v>241180</v>
      </c>
      <c r="M1011" t="s">
        <v>974</v>
      </c>
    </row>
    <row r="1012" spans="12:13" x14ac:dyDescent="0.25">
      <c r="L1012" s="65">
        <v>241181</v>
      </c>
      <c r="M1012" t="s">
        <v>974</v>
      </c>
    </row>
    <row r="1013" spans="12:13" x14ac:dyDescent="0.25">
      <c r="L1013" s="65">
        <v>241200</v>
      </c>
      <c r="M1013" t="s">
        <v>975</v>
      </c>
    </row>
    <row r="1014" spans="12:13" x14ac:dyDescent="0.25">
      <c r="L1014" s="65">
        <v>241210</v>
      </c>
      <c r="M1014" t="s">
        <v>976</v>
      </c>
    </row>
    <row r="1015" spans="12:13" x14ac:dyDescent="0.25">
      <c r="L1015" s="65">
        <v>241211</v>
      </c>
      <c r="M1015" t="s">
        <v>977</v>
      </c>
    </row>
    <row r="1016" spans="12:13" x14ac:dyDescent="0.25">
      <c r="L1016" s="65">
        <v>241212</v>
      </c>
      <c r="M1016" t="s">
        <v>978</v>
      </c>
    </row>
    <row r="1017" spans="12:13" x14ac:dyDescent="0.25">
      <c r="L1017" s="65">
        <v>241220</v>
      </c>
      <c r="M1017" t="s">
        <v>979</v>
      </c>
    </row>
    <row r="1018" spans="12:13" x14ac:dyDescent="0.25">
      <c r="L1018" s="65">
        <v>241221</v>
      </c>
      <c r="M1018" t="s">
        <v>980</v>
      </c>
    </row>
    <row r="1019" spans="12:13" x14ac:dyDescent="0.25">
      <c r="L1019" s="65">
        <v>241222</v>
      </c>
      <c r="M1019" t="s">
        <v>981</v>
      </c>
    </row>
    <row r="1020" spans="12:13" x14ac:dyDescent="0.25">
      <c r="L1020" s="65">
        <v>241229</v>
      </c>
      <c r="M1020" t="s">
        <v>982</v>
      </c>
    </row>
    <row r="1021" spans="12:13" x14ac:dyDescent="0.25">
      <c r="L1021" s="65">
        <v>241230</v>
      </c>
      <c r="M1021" t="s">
        <v>983</v>
      </c>
    </row>
    <row r="1022" spans="12:13" x14ac:dyDescent="0.25">
      <c r="L1022" s="65">
        <v>241231</v>
      </c>
      <c r="M1022" t="s">
        <v>984</v>
      </c>
    </row>
    <row r="1023" spans="12:13" x14ac:dyDescent="0.25">
      <c r="L1023" s="65">
        <v>241232</v>
      </c>
      <c r="M1023" t="s">
        <v>985</v>
      </c>
    </row>
    <row r="1024" spans="12:13" x14ac:dyDescent="0.25">
      <c r="L1024" s="65">
        <v>241233</v>
      </c>
      <c r="M1024" t="s">
        <v>986</v>
      </c>
    </row>
    <row r="1025" spans="12:13" x14ac:dyDescent="0.25">
      <c r="L1025" s="65">
        <v>241234</v>
      </c>
      <c r="M1025" t="s">
        <v>987</v>
      </c>
    </row>
    <row r="1026" spans="12:13" x14ac:dyDescent="0.25">
      <c r="L1026" s="65">
        <v>241235</v>
      </c>
      <c r="M1026" t="s">
        <v>988</v>
      </c>
    </row>
    <row r="1027" spans="12:13" x14ac:dyDescent="0.25">
      <c r="L1027" s="65">
        <v>241239</v>
      </c>
      <c r="M1027" t="s">
        <v>989</v>
      </c>
    </row>
    <row r="1028" spans="12:13" x14ac:dyDescent="0.25">
      <c r="L1028" s="65">
        <v>241240</v>
      </c>
      <c r="M1028" t="s">
        <v>990</v>
      </c>
    </row>
    <row r="1029" spans="12:13" x14ac:dyDescent="0.25">
      <c r="L1029" s="65">
        <v>241241</v>
      </c>
      <c r="M1029" t="s">
        <v>991</v>
      </c>
    </row>
    <row r="1030" spans="12:13" x14ac:dyDescent="0.25">
      <c r="L1030" s="65">
        <v>241249</v>
      </c>
      <c r="M1030" t="s">
        <v>992</v>
      </c>
    </row>
    <row r="1031" spans="12:13" x14ac:dyDescent="0.25">
      <c r="L1031" s="65">
        <v>241250</v>
      </c>
      <c r="M1031" t="s">
        <v>993</v>
      </c>
    </row>
    <row r="1032" spans="12:13" x14ac:dyDescent="0.25">
      <c r="L1032" s="65">
        <v>241251</v>
      </c>
      <c r="M1032" t="s">
        <v>993</v>
      </c>
    </row>
    <row r="1033" spans="12:13" x14ac:dyDescent="0.25">
      <c r="L1033" s="65">
        <v>241260</v>
      </c>
      <c r="M1033" t="s">
        <v>994</v>
      </c>
    </row>
    <row r="1034" spans="12:13" x14ac:dyDescent="0.25">
      <c r="L1034" s="65">
        <v>241261</v>
      </c>
      <c r="M1034" t="s">
        <v>994</v>
      </c>
    </row>
    <row r="1035" spans="12:13" x14ac:dyDescent="0.25">
      <c r="L1035" s="65">
        <v>241300</v>
      </c>
      <c r="M1035" t="s">
        <v>995</v>
      </c>
    </row>
    <row r="1036" spans="12:13" x14ac:dyDescent="0.25">
      <c r="L1036" s="65">
        <v>241310</v>
      </c>
      <c r="M1036" t="s">
        <v>995</v>
      </c>
    </row>
    <row r="1037" spans="12:13" x14ac:dyDescent="0.25">
      <c r="L1037" s="65">
        <v>241311</v>
      </c>
      <c r="M1037" t="s">
        <v>995</v>
      </c>
    </row>
    <row r="1038" spans="12:13" x14ac:dyDescent="0.25">
      <c r="L1038" s="65">
        <v>241400</v>
      </c>
      <c r="M1038" t="s">
        <v>996</v>
      </c>
    </row>
    <row r="1039" spans="12:13" x14ac:dyDescent="0.25">
      <c r="L1039" s="65">
        <v>241410</v>
      </c>
      <c r="M1039" t="s">
        <v>996</v>
      </c>
    </row>
    <row r="1040" spans="12:13" x14ac:dyDescent="0.25">
      <c r="L1040" s="65">
        <v>241411</v>
      </c>
      <c r="M1040" t="s">
        <v>997</v>
      </c>
    </row>
    <row r="1041" spans="12:13" x14ac:dyDescent="0.25">
      <c r="L1041" s="65">
        <v>241412</v>
      </c>
      <c r="M1041" t="s">
        <v>998</v>
      </c>
    </row>
    <row r="1042" spans="12:13" x14ac:dyDescent="0.25">
      <c r="L1042" s="65">
        <v>241413</v>
      </c>
      <c r="M1042" t="s">
        <v>999</v>
      </c>
    </row>
    <row r="1043" spans="12:13" x14ac:dyDescent="0.25">
      <c r="L1043" s="65">
        <v>242000</v>
      </c>
      <c r="M1043" t="s">
        <v>1000</v>
      </c>
    </row>
    <row r="1044" spans="12:13" x14ac:dyDescent="0.25">
      <c r="L1044" s="65">
        <v>242100</v>
      </c>
      <c r="M1044" t="s">
        <v>1001</v>
      </c>
    </row>
    <row r="1045" spans="12:13" x14ac:dyDescent="0.25">
      <c r="L1045" s="65">
        <v>242110</v>
      </c>
      <c r="M1045" t="s">
        <v>1002</v>
      </c>
    </row>
    <row r="1046" spans="12:13" x14ac:dyDescent="0.25">
      <c r="L1046" s="65">
        <v>242111</v>
      </c>
      <c r="M1046" t="s">
        <v>1003</v>
      </c>
    </row>
    <row r="1047" spans="12:13" x14ac:dyDescent="0.25">
      <c r="L1047" s="65">
        <v>242112</v>
      </c>
      <c r="M1047" t="s">
        <v>1004</v>
      </c>
    </row>
    <row r="1048" spans="12:13" x14ac:dyDescent="0.25">
      <c r="L1048" s="65">
        <v>242113</v>
      </c>
      <c r="M1048" t="s">
        <v>1005</v>
      </c>
    </row>
    <row r="1049" spans="12:13" x14ac:dyDescent="0.25">
      <c r="L1049" s="65">
        <v>242114</v>
      </c>
      <c r="M1049" t="s">
        <v>1006</v>
      </c>
    </row>
    <row r="1050" spans="12:13" x14ac:dyDescent="0.25">
      <c r="L1050" s="65">
        <v>242119</v>
      </c>
      <c r="M1050" t="s">
        <v>1007</v>
      </c>
    </row>
    <row r="1051" spans="12:13" x14ac:dyDescent="0.25">
      <c r="L1051" s="65">
        <v>242120</v>
      </c>
      <c r="M1051" t="s">
        <v>1008</v>
      </c>
    </row>
    <row r="1052" spans="12:13" x14ac:dyDescent="0.25">
      <c r="L1052" s="65">
        <v>242121</v>
      </c>
      <c r="M1052" t="s">
        <v>1009</v>
      </c>
    </row>
    <row r="1053" spans="12:13" x14ac:dyDescent="0.25">
      <c r="L1053" s="65">
        <v>242122</v>
      </c>
      <c r="M1053" t="s">
        <v>1010</v>
      </c>
    </row>
    <row r="1054" spans="12:13" x14ac:dyDescent="0.25">
      <c r="L1054" s="65">
        <v>242123</v>
      </c>
      <c r="M1054" t="s">
        <v>1011</v>
      </c>
    </row>
    <row r="1055" spans="12:13" x14ac:dyDescent="0.25">
      <c r="L1055" s="65">
        <v>242124</v>
      </c>
      <c r="M1055" t="s">
        <v>1012</v>
      </c>
    </row>
    <row r="1056" spans="12:13" x14ac:dyDescent="0.25">
      <c r="L1056" s="65">
        <v>242129</v>
      </c>
      <c r="M1056" t="s">
        <v>1013</v>
      </c>
    </row>
    <row r="1057" spans="12:13" x14ac:dyDescent="0.25">
      <c r="L1057" s="65">
        <v>242200</v>
      </c>
      <c r="M1057" t="s">
        <v>1014</v>
      </c>
    </row>
    <row r="1058" spans="12:13" x14ac:dyDescent="0.25">
      <c r="L1058" s="65">
        <v>242210</v>
      </c>
      <c r="M1058" t="s">
        <v>1015</v>
      </c>
    </row>
    <row r="1059" spans="12:13" x14ac:dyDescent="0.25">
      <c r="L1059" s="65">
        <v>242211</v>
      </c>
      <c r="M1059" t="s">
        <v>1016</v>
      </c>
    </row>
    <row r="1060" spans="12:13" x14ac:dyDescent="0.25">
      <c r="L1060" s="65">
        <v>242219</v>
      </c>
      <c r="M1060" t="s">
        <v>1017</v>
      </c>
    </row>
    <row r="1061" spans="12:13" x14ac:dyDescent="0.25">
      <c r="L1061" s="65">
        <v>242220</v>
      </c>
      <c r="M1061" t="s">
        <v>1018</v>
      </c>
    </row>
    <row r="1062" spans="12:13" x14ac:dyDescent="0.25">
      <c r="L1062" s="65">
        <v>242221</v>
      </c>
      <c r="M1062" t="s">
        <v>1019</v>
      </c>
    </row>
    <row r="1063" spans="12:13" x14ac:dyDescent="0.25">
      <c r="L1063" s="65">
        <v>242229</v>
      </c>
      <c r="M1063" t="s">
        <v>1020</v>
      </c>
    </row>
    <row r="1064" spans="12:13" x14ac:dyDescent="0.25">
      <c r="L1064" s="65">
        <v>242300</v>
      </c>
      <c r="M1064" t="s">
        <v>1021</v>
      </c>
    </row>
    <row r="1065" spans="12:13" x14ac:dyDescent="0.25">
      <c r="L1065" s="65">
        <v>242310</v>
      </c>
      <c r="M1065" t="s">
        <v>1022</v>
      </c>
    </row>
    <row r="1066" spans="12:13" x14ac:dyDescent="0.25">
      <c r="L1066" s="65">
        <v>242311</v>
      </c>
      <c r="M1066" t="s">
        <v>1023</v>
      </c>
    </row>
    <row r="1067" spans="12:13" x14ac:dyDescent="0.25">
      <c r="L1067" s="65">
        <v>242319</v>
      </c>
      <c r="M1067" t="s">
        <v>1024</v>
      </c>
    </row>
    <row r="1068" spans="12:13" x14ac:dyDescent="0.25">
      <c r="L1068" s="65">
        <v>242320</v>
      </c>
      <c r="M1068" t="s">
        <v>1025</v>
      </c>
    </row>
    <row r="1069" spans="12:13" x14ac:dyDescent="0.25">
      <c r="L1069" s="65">
        <v>242321</v>
      </c>
      <c r="M1069" t="s">
        <v>1026</v>
      </c>
    </row>
    <row r="1070" spans="12:13" x14ac:dyDescent="0.25">
      <c r="L1070" s="65">
        <v>242329</v>
      </c>
      <c r="M1070" t="s">
        <v>1027</v>
      </c>
    </row>
    <row r="1071" spans="12:13" x14ac:dyDescent="0.25">
      <c r="L1071" s="65">
        <v>242400</v>
      </c>
      <c r="M1071" t="s">
        <v>1028</v>
      </c>
    </row>
    <row r="1072" spans="12:13" x14ac:dyDescent="0.25">
      <c r="L1072" s="65">
        <v>242410</v>
      </c>
      <c r="M1072" t="s">
        <v>1029</v>
      </c>
    </row>
    <row r="1073" spans="12:13" x14ac:dyDescent="0.25">
      <c r="L1073" s="65">
        <v>242411</v>
      </c>
      <c r="M1073" t="s">
        <v>1029</v>
      </c>
    </row>
    <row r="1074" spans="12:13" x14ac:dyDescent="0.25">
      <c r="L1074" s="65">
        <v>242420</v>
      </c>
      <c r="M1074" t="s">
        <v>1030</v>
      </c>
    </row>
    <row r="1075" spans="12:13" x14ac:dyDescent="0.25">
      <c r="L1075" s="65">
        <v>242421</v>
      </c>
      <c r="M1075" t="s">
        <v>1030</v>
      </c>
    </row>
    <row r="1076" spans="12:13" x14ac:dyDescent="0.25">
      <c r="L1076" s="65">
        <v>243000</v>
      </c>
      <c r="M1076" t="s">
        <v>1031</v>
      </c>
    </row>
    <row r="1077" spans="12:13" x14ac:dyDescent="0.25">
      <c r="L1077" s="65">
        <v>243100</v>
      </c>
      <c r="M1077" t="s">
        <v>1032</v>
      </c>
    </row>
    <row r="1078" spans="12:13" x14ac:dyDescent="0.25">
      <c r="L1078" s="65">
        <v>243110</v>
      </c>
      <c r="M1078" t="s">
        <v>1033</v>
      </c>
    </row>
    <row r="1079" spans="12:13" x14ac:dyDescent="0.25">
      <c r="L1079" s="65">
        <v>243111</v>
      </c>
      <c r="M1079" t="s">
        <v>1033</v>
      </c>
    </row>
    <row r="1080" spans="12:13" x14ac:dyDescent="0.25">
      <c r="L1080" s="65">
        <v>243120</v>
      </c>
      <c r="M1080" t="s">
        <v>1034</v>
      </c>
    </row>
    <row r="1081" spans="12:13" x14ac:dyDescent="0.25">
      <c r="L1081" s="65">
        <v>243121</v>
      </c>
      <c r="M1081" t="s">
        <v>1034</v>
      </c>
    </row>
    <row r="1082" spans="12:13" x14ac:dyDescent="0.25">
      <c r="L1082" s="65">
        <v>243200</v>
      </c>
      <c r="M1082" t="s">
        <v>1035</v>
      </c>
    </row>
    <row r="1083" spans="12:13" x14ac:dyDescent="0.25">
      <c r="L1083" s="65">
        <v>243210</v>
      </c>
      <c r="M1083" t="s">
        <v>1036</v>
      </c>
    </row>
    <row r="1084" spans="12:13" x14ac:dyDescent="0.25">
      <c r="L1084" s="65">
        <v>243211</v>
      </c>
      <c r="M1084" t="s">
        <v>1037</v>
      </c>
    </row>
    <row r="1085" spans="12:13" x14ac:dyDescent="0.25">
      <c r="L1085" s="65">
        <v>243212</v>
      </c>
      <c r="M1085" t="s">
        <v>1038</v>
      </c>
    </row>
    <row r="1086" spans="12:13" x14ac:dyDescent="0.25">
      <c r="L1086" s="65">
        <v>243219</v>
      </c>
      <c r="M1086" t="s">
        <v>1039</v>
      </c>
    </row>
    <row r="1087" spans="12:13" x14ac:dyDescent="0.25">
      <c r="L1087" s="65">
        <v>243220</v>
      </c>
      <c r="M1087" t="s">
        <v>1040</v>
      </c>
    </row>
    <row r="1088" spans="12:13" x14ac:dyDescent="0.25">
      <c r="L1088" s="65">
        <v>243221</v>
      </c>
      <c r="M1088" t="s">
        <v>1041</v>
      </c>
    </row>
    <row r="1089" spans="12:13" x14ac:dyDescent="0.25">
      <c r="L1089" s="65">
        <v>243222</v>
      </c>
      <c r="M1089" t="s">
        <v>1042</v>
      </c>
    </row>
    <row r="1090" spans="12:13" x14ac:dyDescent="0.25">
      <c r="L1090" s="65">
        <v>243229</v>
      </c>
      <c r="M1090" t="s">
        <v>1043</v>
      </c>
    </row>
    <row r="1091" spans="12:13" x14ac:dyDescent="0.25">
      <c r="L1091" s="65">
        <v>243300</v>
      </c>
      <c r="M1091" t="s">
        <v>1044</v>
      </c>
    </row>
    <row r="1092" spans="12:13" x14ac:dyDescent="0.25">
      <c r="L1092" s="65">
        <v>243310</v>
      </c>
      <c r="M1092" t="s">
        <v>1045</v>
      </c>
    </row>
    <row r="1093" spans="12:13" x14ac:dyDescent="0.25">
      <c r="L1093" s="65">
        <v>243311</v>
      </c>
      <c r="M1093" t="s">
        <v>1046</v>
      </c>
    </row>
    <row r="1094" spans="12:13" x14ac:dyDescent="0.25">
      <c r="L1094" s="65">
        <v>243312</v>
      </c>
      <c r="M1094" t="s">
        <v>1047</v>
      </c>
    </row>
    <row r="1095" spans="12:13" x14ac:dyDescent="0.25">
      <c r="L1095" s="65">
        <v>243313</v>
      </c>
      <c r="M1095" t="s">
        <v>1048</v>
      </c>
    </row>
    <row r="1096" spans="12:13" x14ac:dyDescent="0.25">
      <c r="L1096" s="65">
        <v>243314</v>
      </c>
      <c r="M1096" t="s">
        <v>1049</v>
      </c>
    </row>
    <row r="1097" spans="12:13" x14ac:dyDescent="0.25">
      <c r="L1097" s="65">
        <v>243320</v>
      </c>
      <c r="M1097" t="s">
        <v>1050</v>
      </c>
    </row>
    <row r="1098" spans="12:13" x14ac:dyDescent="0.25">
      <c r="L1098" s="65">
        <v>243321</v>
      </c>
      <c r="M1098" t="s">
        <v>1051</v>
      </c>
    </row>
    <row r="1099" spans="12:13" x14ac:dyDescent="0.25">
      <c r="L1099" s="65">
        <v>243322</v>
      </c>
      <c r="M1099" t="s">
        <v>1052</v>
      </c>
    </row>
    <row r="1100" spans="12:13" x14ac:dyDescent="0.25">
      <c r="L1100" s="65">
        <v>243323</v>
      </c>
      <c r="M1100" t="s">
        <v>1053</v>
      </c>
    </row>
    <row r="1101" spans="12:13" x14ac:dyDescent="0.25">
      <c r="L1101" s="65">
        <v>243324</v>
      </c>
      <c r="M1101" t="s">
        <v>1054</v>
      </c>
    </row>
    <row r="1102" spans="12:13" x14ac:dyDescent="0.25">
      <c r="L1102" s="65">
        <v>243400</v>
      </c>
      <c r="M1102" t="s">
        <v>1055</v>
      </c>
    </row>
    <row r="1103" spans="12:13" x14ac:dyDescent="0.25">
      <c r="L1103" s="65">
        <v>243410</v>
      </c>
      <c r="M1103" t="s">
        <v>1056</v>
      </c>
    </row>
    <row r="1104" spans="12:13" x14ac:dyDescent="0.25">
      <c r="L1104" s="65">
        <v>243411</v>
      </c>
      <c r="M1104" t="s">
        <v>1057</v>
      </c>
    </row>
    <row r="1105" spans="12:13" x14ac:dyDescent="0.25">
      <c r="L1105" s="65">
        <v>243412</v>
      </c>
      <c r="M1105" t="s">
        <v>1058</v>
      </c>
    </row>
    <row r="1106" spans="12:13" x14ac:dyDescent="0.25">
      <c r="L1106" s="65">
        <v>243413</v>
      </c>
      <c r="M1106" t="s">
        <v>1059</v>
      </c>
    </row>
    <row r="1107" spans="12:13" x14ac:dyDescent="0.25">
      <c r="L1107" s="65">
        <v>243414</v>
      </c>
      <c r="M1107" t="s">
        <v>1060</v>
      </c>
    </row>
    <row r="1108" spans="12:13" x14ac:dyDescent="0.25">
      <c r="L1108" s="65">
        <v>243415</v>
      </c>
      <c r="M1108" t="s">
        <v>1061</v>
      </c>
    </row>
    <row r="1109" spans="12:13" x14ac:dyDescent="0.25">
      <c r="L1109" s="65">
        <v>243420</v>
      </c>
      <c r="M1109" t="s">
        <v>1062</v>
      </c>
    </row>
    <row r="1110" spans="12:13" x14ac:dyDescent="0.25">
      <c r="L1110" s="65">
        <v>243421</v>
      </c>
      <c r="M1110" t="s">
        <v>1063</v>
      </c>
    </row>
    <row r="1111" spans="12:13" x14ac:dyDescent="0.25">
      <c r="L1111" s="65">
        <v>243422</v>
      </c>
      <c r="M1111" t="s">
        <v>1064</v>
      </c>
    </row>
    <row r="1112" spans="12:13" x14ac:dyDescent="0.25">
      <c r="L1112" s="65">
        <v>243425</v>
      </c>
      <c r="M1112" t="s">
        <v>1065</v>
      </c>
    </row>
    <row r="1113" spans="12:13" x14ac:dyDescent="0.25">
      <c r="L1113" s="65">
        <v>244000</v>
      </c>
      <c r="M1113" t="s">
        <v>1066</v>
      </c>
    </row>
    <row r="1114" spans="12:13" x14ac:dyDescent="0.25">
      <c r="L1114" s="65">
        <v>244100</v>
      </c>
      <c r="M1114" t="s">
        <v>1067</v>
      </c>
    </row>
    <row r="1115" spans="12:13" x14ac:dyDescent="0.25">
      <c r="L1115" s="65">
        <v>244110</v>
      </c>
      <c r="M1115" t="s">
        <v>1068</v>
      </c>
    </row>
    <row r="1116" spans="12:13" x14ac:dyDescent="0.25">
      <c r="L1116" s="65">
        <v>244111</v>
      </c>
      <c r="M1116" t="s">
        <v>1069</v>
      </c>
    </row>
    <row r="1117" spans="12:13" x14ac:dyDescent="0.25">
      <c r="L1117" s="65">
        <v>244112</v>
      </c>
      <c r="M1117" t="s">
        <v>1070</v>
      </c>
    </row>
    <row r="1118" spans="12:13" x14ac:dyDescent="0.25">
      <c r="L1118" s="65">
        <v>244113</v>
      </c>
      <c r="M1118" t="s">
        <v>1071</v>
      </c>
    </row>
    <row r="1119" spans="12:13" x14ac:dyDescent="0.25">
      <c r="L1119" s="65">
        <v>244114</v>
      </c>
      <c r="M1119" t="s">
        <v>1072</v>
      </c>
    </row>
    <row r="1120" spans="12:13" x14ac:dyDescent="0.25">
      <c r="L1120" s="65">
        <v>244119</v>
      </c>
      <c r="M1120" t="s">
        <v>1073</v>
      </c>
    </row>
    <row r="1121" spans="12:13" x14ac:dyDescent="0.25">
      <c r="L1121" s="65">
        <v>244120</v>
      </c>
      <c r="M1121" t="s">
        <v>1074</v>
      </c>
    </row>
    <row r="1122" spans="12:13" x14ac:dyDescent="0.25">
      <c r="L1122" s="65">
        <v>244121</v>
      </c>
      <c r="M1122" t="s">
        <v>1075</v>
      </c>
    </row>
    <row r="1123" spans="12:13" x14ac:dyDescent="0.25">
      <c r="L1123" s="65">
        <v>244122</v>
      </c>
      <c r="M1123" t="s">
        <v>1076</v>
      </c>
    </row>
    <row r="1124" spans="12:13" x14ac:dyDescent="0.25">
      <c r="L1124" s="65">
        <v>244123</v>
      </c>
      <c r="M1124" t="s">
        <v>1077</v>
      </c>
    </row>
    <row r="1125" spans="12:13" x14ac:dyDescent="0.25">
      <c r="L1125" s="65">
        <v>244124</v>
      </c>
      <c r="M1125" t="s">
        <v>1078</v>
      </c>
    </row>
    <row r="1126" spans="12:13" x14ac:dyDescent="0.25">
      <c r="L1126" s="65">
        <v>244125</v>
      </c>
      <c r="M1126" t="s">
        <v>1079</v>
      </c>
    </row>
    <row r="1127" spans="12:13" x14ac:dyDescent="0.25">
      <c r="L1127" s="65">
        <v>244126</v>
      </c>
      <c r="M1127" t="s">
        <v>1080</v>
      </c>
    </row>
    <row r="1128" spans="12:13" x14ac:dyDescent="0.25">
      <c r="L1128" s="65">
        <v>244129</v>
      </c>
      <c r="M1128" t="s">
        <v>1081</v>
      </c>
    </row>
    <row r="1129" spans="12:13" x14ac:dyDescent="0.25">
      <c r="L1129" s="65">
        <v>244190</v>
      </c>
      <c r="M1129" t="s">
        <v>1082</v>
      </c>
    </row>
    <row r="1130" spans="12:13" x14ac:dyDescent="0.25">
      <c r="L1130" s="65">
        <v>244191</v>
      </c>
      <c r="M1130" t="s">
        <v>1083</v>
      </c>
    </row>
    <row r="1131" spans="12:13" x14ac:dyDescent="0.25">
      <c r="L1131" s="65">
        <v>244192</v>
      </c>
      <c r="M1131" t="s">
        <v>1084</v>
      </c>
    </row>
    <row r="1132" spans="12:13" x14ac:dyDescent="0.25">
      <c r="L1132" s="65">
        <v>244193</v>
      </c>
      <c r="M1132" t="s">
        <v>1085</v>
      </c>
    </row>
    <row r="1133" spans="12:13" x14ac:dyDescent="0.25">
      <c r="L1133" s="65">
        <v>244194</v>
      </c>
      <c r="M1133" t="s">
        <v>1086</v>
      </c>
    </row>
    <row r="1134" spans="12:13" x14ac:dyDescent="0.25">
      <c r="L1134" s="65">
        <v>244195</v>
      </c>
      <c r="M1134" t="s">
        <v>1087</v>
      </c>
    </row>
    <row r="1135" spans="12:13" x14ac:dyDescent="0.25">
      <c r="L1135" s="65">
        <v>244200</v>
      </c>
      <c r="M1135" t="s">
        <v>1088</v>
      </c>
    </row>
    <row r="1136" spans="12:13" x14ac:dyDescent="0.25">
      <c r="L1136" s="65">
        <v>244210</v>
      </c>
      <c r="M1136" t="s">
        <v>1089</v>
      </c>
    </row>
    <row r="1137" spans="12:13" x14ac:dyDescent="0.25">
      <c r="L1137" s="65">
        <v>244211</v>
      </c>
      <c r="M1137" t="s">
        <v>1090</v>
      </c>
    </row>
    <row r="1138" spans="12:13" x14ac:dyDescent="0.25">
      <c r="L1138" s="65">
        <v>244212</v>
      </c>
      <c r="M1138" t="s">
        <v>1091</v>
      </c>
    </row>
    <row r="1139" spans="12:13" x14ac:dyDescent="0.25">
      <c r="L1139" s="65">
        <v>244213</v>
      </c>
      <c r="M1139" t="s">
        <v>1092</v>
      </c>
    </row>
    <row r="1140" spans="12:13" x14ac:dyDescent="0.25">
      <c r="L1140" s="65">
        <v>244220</v>
      </c>
      <c r="M1140" t="s">
        <v>1093</v>
      </c>
    </row>
    <row r="1141" spans="12:13" x14ac:dyDescent="0.25">
      <c r="L1141" s="65">
        <v>244221</v>
      </c>
      <c r="M1141" t="s">
        <v>1093</v>
      </c>
    </row>
    <row r="1142" spans="12:13" x14ac:dyDescent="0.25">
      <c r="L1142" s="65">
        <v>244230</v>
      </c>
      <c r="M1142" t="s">
        <v>1094</v>
      </c>
    </row>
    <row r="1143" spans="12:13" x14ac:dyDescent="0.25">
      <c r="L1143" s="65">
        <v>244231</v>
      </c>
      <c r="M1143" t="s">
        <v>1094</v>
      </c>
    </row>
    <row r="1144" spans="12:13" x14ac:dyDescent="0.25">
      <c r="L1144" s="65">
        <v>244240</v>
      </c>
      <c r="M1144" t="s">
        <v>1095</v>
      </c>
    </row>
    <row r="1145" spans="12:13" x14ac:dyDescent="0.25">
      <c r="L1145" s="65">
        <v>244241</v>
      </c>
      <c r="M1145" t="s">
        <v>1095</v>
      </c>
    </row>
    <row r="1146" spans="12:13" x14ac:dyDescent="0.25">
      <c r="L1146" s="65">
        <v>244250</v>
      </c>
      <c r="M1146" t="s">
        <v>1096</v>
      </c>
    </row>
    <row r="1147" spans="12:13" x14ac:dyDescent="0.25">
      <c r="L1147" s="65">
        <v>244251</v>
      </c>
      <c r="M1147" t="s">
        <v>1097</v>
      </c>
    </row>
    <row r="1148" spans="12:13" x14ac:dyDescent="0.25">
      <c r="L1148" s="65">
        <v>244252</v>
      </c>
      <c r="M1148" t="s">
        <v>1098</v>
      </c>
    </row>
    <row r="1149" spans="12:13" x14ac:dyDescent="0.25">
      <c r="L1149" s="65">
        <v>244260</v>
      </c>
      <c r="M1149" t="s">
        <v>1099</v>
      </c>
    </row>
    <row r="1150" spans="12:13" x14ac:dyDescent="0.25">
      <c r="L1150" s="65">
        <v>244261</v>
      </c>
      <c r="M1150" t="s">
        <v>1099</v>
      </c>
    </row>
    <row r="1151" spans="12:13" x14ac:dyDescent="0.25">
      <c r="L1151" s="65">
        <v>244270</v>
      </c>
      <c r="M1151" t="s">
        <v>1100</v>
      </c>
    </row>
    <row r="1152" spans="12:13" x14ac:dyDescent="0.25">
      <c r="L1152" s="65">
        <v>244271</v>
      </c>
      <c r="M1152" t="s">
        <v>1101</v>
      </c>
    </row>
    <row r="1153" spans="12:13" x14ac:dyDescent="0.25">
      <c r="L1153" s="65">
        <v>244272</v>
      </c>
      <c r="M1153" t="s">
        <v>1102</v>
      </c>
    </row>
    <row r="1154" spans="12:13" x14ac:dyDescent="0.25">
      <c r="L1154" s="65">
        <v>244273</v>
      </c>
      <c r="M1154" t="s">
        <v>1103</v>
      </c>
    </row>
    <row r="1155" spans="12:13" x14ac:dyDescent="0.25">
      <c r="L1155" s="65">
        <v>244274</v>
      </c>
      <c r="M1155" t="s">
        <v>1104</v>
      </c>
    </row>
    <row r="1156" spans="12:13" x14ac:dyDescent="0.25">
      <c r="L1156" s="65">
        <v>244280</v>
      </c>
      <c r="M1156" t="s">
        <v>1105</v>
      </c>
    </row>
    <row r="1157" spans="12:13" x14ac:dyDescent="0.25">
      <c r="L1157" s="65">
        <v>244281</v>
      </c>
      <c r="M1157" t="s">
        <v>1105</v>
      </c>
    </row>
    <row r="1158" spans="12:13" x14ac:dyDescent="0.25">
      <c r="L1158" s="65">
        <v>244290</v>
      </c>
      <c r="M1158" t="s">
        <v>1106</v>
      </c>
    </row>
    <row r="1159" spans="12:13" x14ac:dyDescent="0.25">
      <c r="L1159" s="65">
        <v>244291</v>
      </c>
      <c r="M1159" t="s">
        <v>1107</v>
      </c>
    </row>
    <row r="1160" spans="12:13" x14ac:dyDescent="0.25">
      <c r="L1160" s="65">
        <v>244292</v>
      </c>
      <c r="M1160" t="s">
        <v>1108</v>
      </c>
    </row>
    <row r="1161" spans="12:13" x14ac:dyDescent="0.25">
      <c r="L1161" s="65">
        <v>244293</v>
      </c>
      <c r="M1161" t="s">
        <v>1109</v>
      </c>
    </row>
    <row r="1162" spans="12:13" x14ac:dyDescent="0.25">
      <c r="L1162" s="65">
        <v>245000</v>
      </c>
      <c r="M1162" t="s">
        <v>1110</v>
      </c>
    </row>
    <row r="1163" spans="12:13" x14ac:dyDescent="0.25">
      <c r="L1163" s="65">
        <v>245100</v>
      </c>
      <c r="M1163" t="s">
        <v>1111</v>
      </c>
    </row>
    <row r="1164" spans="12:13" x14ac:dyDescent="0.25">
      <c r="L1164" s="65">
        <v>245110</v>
      </c>
      <c r="M1164" t="s">
        <v>1112</v>
      </c>
    </row>
    <row r="1165" spans="12:13" x14ac:dyDescent="0.25">
      <c r="L1165" s="65">
        <v>245111</v>
      </c>
      <c r="M1165" t="s">
        <v>1112</v>
      </c>
    </row>
    <row r="1166" spans="12:13" x14ac:dyDescent="0.25">
      <c r="L1166" s="65">
        <v>245112</v>
      </c>
      <c r="M1166" t="s">
        <v>1113</v>
      </c>
    </row>
    <row r="1167" spans="12:13" x14ac:dyDescent="0.25">
      <c r="L1167" s="65">
        <v>245113</v>
      </c>
      <c r="M1167" t="s">
        <v>1114</v>
      </c>
    </row>
    <row r="1168" spans="12:13" x14ac:dyDescent="0.25">
      <c r="L1168" s="65">
        <v>245190</v>
      </c>
      <c r="M1168" t="s">
        <v>1115</v>
      </c>
    </row>
    <row r="1169" spans="12:13" x14ac:dyDescent="0.25">
      <c r="L1169" s="65">
        <v>245191</v>
      </c>
      <c r="M1169" t="s">
        <v>1116</v>
      </c>
    </row>
    <row r="1170" spans="12:13" x14ac:dyDescent="0.25">
      <c r="L1170" s="65">
        <v>245192</v>
      </c>
      <c r="M1170" t="s">
        <v>1117</v>
      </c>
    </row>
    <row r="1171" spans="12:13" x14ac:dyDescent="0.25">
      <c r="L1171" s="65">
        <v>245193</v>
      </c>
      <c r="M1171" t="s">
        <v>1118</v>
      </c>
    </row>
    <row r="1172" spans="12:13" x14ac:dyDescent="0.25">
      <c r="L1172" s="65">
        <v>245194</v>
      </c>
      <c r="M1172" t="s">
        <v>1119</v>
      </c>
    </row>
    <row r="1173" spans="12:13" x14ac:dyDescent="0.25">
      <c r="L1173" s="65">
        <v>245195</v>
      </c>
      <c r="M1173" t="s">
        <v>1120</v>
      </c>
    </row>
    <row r="1174" spans="12:13" x14ac:dyDescent="0.25">
      <c r="L1174" s="65">
        <v>245196</v>
      </c>
      <c r="M1174" t="s">
        <v>1121</v>
      </c>
    </row>
    <row r="1175" spans="12:13" x14ac:dyDescent="0.25">
      <c r="L1175" s="65">
        <v>245199</v>
      </c>
      <c r="M1175" t="s">
        <v>1115</v>
      </c>
    </row>
    <row r="1176" spans="12:13" x14ac:dyDescent="0.25">
      <c r="L1176" s="65">
        <v>245200</v>
      </c>
      <c r="M1176" t="s">
        <v>1122</v>
      </c>
    </row>
    <row r="1177" spans="12:13" x14ac:dyDescent="0.25">
      <c r="L1177" s="65">
        <v>245210</v>
      </c>
      <c r="M1177" t="s">
        <v>1123</v>
      </c>
    </row>
    <row r="1178" spans="12:13" x14ac:dyDescent="0.25">
      <c r="L1178" s="65">
        <v>245211</v>
      </c>
      <c r="M1178" t="s">
        <v>1124</v>
      </c>
    </row>
    <row r="1179" spans="12:13" x14ac:dyDescent="0.25">
      <c r="L1179" s="65">
        <v>245212</v>
      </c>
      <c r="M1179" t="s">
        <v>1125</v>
      </c>
    </row>
    <row r="1180" spans="12:13" x14ac:dyDescent="0.25">
      <c r="L1180" s="65">
        <v>245213</v>
      </c>
      <c r="M1180" t="s">
        <v>1126</v>
      </c>
    </row>
    <row r="1181" spans="12:13" x14ac:dyDescent="0.25">
      <c r="L1181" s="65">
        <v>245214</v>
      </c>
      <c r="M1181" t="s">
        <v>1127</v>
      </c>
    </row>
    <row r="1182" spans="12:13" x14ac:dyDescent="0.25">
      <c r="L1182" s="65">
        <v>245219</v>
      </c>
      <c r="M1182" t="s">
        <v>1128</v>
      </c>
    </row>
    <row r="1183" spans="12:13" x14ac:dyDescent="0.25">
      <c r="L1183" s="65">
        <v>245220</v>
      </c>
      <c r="M1183" t="s">
        <v>1129</v>
      </c>
    </row>
    <row r="1184" spans="12:13" x14ac:dyDescent="0.25">
      <c r="L1184" s="65">
        <v>245221</v>
      </c>
      <c r="M1184" t="s">
        <v>1130</v>
      </c>
    </row>
    <row r="1185" spans="12:13" x14ac:dyDescent="0.25">
      <c r="L1185" s="65">
        <v>245222</v>
      </c>
      <c r="M1185" t="s">
        <v>1131</v>
      </c>
    </row>
    <row r="1186" spans="12:13" x14ac:dyDescent="0.25">
      <c r="L1186" s="65">
        <v>245223</v>
      </c>
      <c r="M1186" t="s">
        <v>1132</v>
      </c>
    </row>
    <row r="1187" spans="12:13" x14ac:dyDescent="0.25">
      <c r="L1187" s="65">
        <v>245224</v>
      </c>
      <c r="M1187" t="s">
        <v>1133</v>
      </c>
    </row>
    <row r="1188" spans="12:13" x14ac:dyDescent="0.25">
      <c r="L1188" s="65">
        <v>245225</v>
      </c>
      <c r="M1188" t="s">
        <v>1134</v>
      </c>
    </row>
    <row r="1189" spans="12:13" x14ac:dyDescent="0.25">
      <c r="L1189" s="65">
        <v>245230</v>
      </c>
      <c r="M1189" t="s">
        <v>1135</v>
      </c>
    </row>
    <row r="1190" spans="12:13" x14ac:dyDescent="0.25">
      <c r="L1190" s="65">
        <v>245231</v>
      </c>
      <c r="M1190" t="s">
        <v>1136</v>
      </c>
    </row>
    <row r="1191" spans="12:13" x14ac:dyDescent="0.25">
      <c r="L1191" s="65">
        <v>245232</v>
      </c>
      <c r="M1191" t="s">
        <v>1137</v>
      </c>
    </row>
    <row r="1192" spans="12:13" x14ac:dyDescent="0.25">
      <c r="L1192" s="65">
        <v>245233</v>
      </c>
      <c r="M1192" t="s">
        <v>1138</v>
      </c>
    </row>
    <row r="1193" spans="12:13" x14ac:dyDescent="0.25">
      <c r="L1193" s="65">
        <v>245234</v>
      </c>
      <c r="M1193" t="s">
        <v>1139</v>
      </c>
    </row>
    <row r="1194" spans="12:13" x14ac:dyDescent="0.25">
      <c r="L1194" s="65">
        <v>245240</v>
      </c>
      <c r="M1194" t="s">
        <v>1140</v>
      </c>
    </row>
    <row r="1195" spans="12:13" x14ac:dyDescent="0.25">
      <c r="L1195" s="65">
        <v>245241</v>
      </c>
      <c r="M1195" t="s">
        <v>1141</v>
      </c>
    </row>
    <row r="1196" spans="12:13" x14ac:dyDescent="0.25">
      <c r="L1196" s="65">
        <v>245242</v>
      </c>
      <c r="M1196" t="s">
        <v>1142</v>
      </c>
    </row>
    <row r="1197" spans="12:13" x14ac:dyDescent="0.25">
      <c r="L1197" s="65">
        <v>245243</v>
      </c>
      <c r="M1197" t="s">
        <v>1143</v>
      </c>
    </row>
    <row r="1198" spans="12:13" x14ac:dyDescent="0.25">
      <c r="L1198" s="65">
        <v>245244</v>
      </c>
      <c r="M1198" t="s">
        <v>1144</v>
      </c>
    </row>
    <row r="1199" spans="12:13" x14ac:dyDescent="0.25">
      <c r="L1199" s="65">
        <v>245245</v>
      </c>
      <c r="M1199" t="s">
        <v>1145</v>
      </c>
    </row>
    <row r="1200" spans="12:13" x14ac:dyDescent="0.25">
      <c r="L1200" s="65">
        <v>245246</v>
      </c>
      <c r="M1200" t="s">
        <v>1146</v>
      </c>
    </row>
    <row r="1201" spans="12:13" x14ac:dyDescent="0.25">
      <c r="L1201" s="65">
        <v>245247</v>
      </c>
      <c r="M1201" t="s">
        <v>1147</v>
      </c>
    </row>
    <row r="1202" spans="12:13" x14ac:dyDescent="0.25">
      <c r="L1202" s="65">
        <v>245248</v>
      </c>
      <c r="M1202" t="s">
        <v>1148</v>
      </c>
    </row>
    <row r="1203" spans="12:13" x14ac:dyDescent="0.25">
      <c r="L1203" s="65">
        <v>245249</v>
      </c>
      <c r="M1203" t="s">
        <v>1149</v>
      </c>
    </row>
    <row r="1204" spans="12:13" x14ac:dyDescent="0.25">
      <c r="L1204" s="65">
        <v>245300</v>
      </c>
      <c r="M1204" t="s">
        <v>1150</v>
      </c>
    </row>
    <row r="1205" spans="12:13" x14ac:dyDescent="0.25">
      <c r="L1205" s="65">
        <v>245310</v>
      </c>
      <c r="M1205" t="s">
        <v>1150</v>
      </c>
    </row>
    <row r="1206" spans="12:13" x14ac:dyDescent="0.25">
      <c r="L1206" s="65">
        <v>245311</v>
      </c>
      <c r="M1206" t="s">
        <v>1150</v>
      </c>
    </row>
    <row r="1207" spans="12:13" x14ac:dyDescent="0.25">
      <c r="L1207" s="65">
        <v>245400</v>
      </c>
      <c r="M1207" t="s">
        <v>1151</v>
      </c>
    </row>
    <row r="1208" spans="12:13" x14ac:dyDescent="0.25">
      <c r="L1208" s="65">
        <v>245410</v>
      </c>
      <c r="M1208" t="s">
        <v>1151</v>
      </c>
    </row>
    <row r="1209" spans="12:13" x14ac:dyDescent="0.25">
      <c r="L1209" s="65">
        <v>245411</v>
      </c>
      <c r="M1209" t="s">
        <v>1151</v>
      </c>
    </row>
    <row r="1210" spans="12:13" x14ac:dyDescent="0.25">
      <c r="L1210" s="65">
        <v>245420</v>
      </c>
      <c r="M1210" t="s">
        <v>1152</v>
      </c>
    </row>
    <row r="1211" spans="12:13" x14ac:dyDescent="0.25">
      <c r="L1211" s="65">
        <v>245421</v>
      </c>
      <c r="M1211" t="s">
        <v>1152</v>
      </c>
    </row>
    <row r="1212" spans="12:13" x14ac:dyDescent="0.25">
      <c r="L1212" s="65">
        <v>245500</v>
      </c>
      <c r="M1212" t="s">
        <v>1153</v>
      </c>
    </row>
    <row r="1213" spans="12:13" x14ac:dyDescent="0.25">
      <c r="L1213" s="65">
        <v>245510</v>
      </c>
      <c r="M1213" t="s">
        <v>1153</v>
      </c>
    </row>
    <row r="1214" spans="12:13" x14ac:dyDescent="0.25">
      <c r="L1214" s="65">
        <v>245511</v>
      </c>
      <c r="M1214" t="s">
        <v>1153</v>
      </c>
    </row>
    <row r="1215" spans="12:13" x14ac:dyDescent="0.25">
      <c r="L1215" s="65">
        <v>250000</v>
      </c>
      <c r="M1215" t="s">
        <v>1154</v>
      </c>
    </row>
    <row r="1216" spans="12:13" x14ac:dyDescent="0.25">
      <c r="L1216" s="65">
        <v>251000</v>
      </c>
      <c r="M1216" t="s">
        <v>1155</v>
      </c>
    </row>
    <row r="1217" spans="12:13" x14ac:dyDescent="0.25">
      <c r="L1217" s="65">
        <v>251100</v>
      </c>
      <c r="M1217" t="s">
        <v>1156</v>
      </c>
    </row>
    <row r="1218" spans="12:13" x14ac:dyDescent="0.25">
      <c r="L1218" s="65">
        <v>251110</v>
      </c>
      <c r="M1218" t="s">
        <v>1156</v>
      </c>
    </row>
    <row r="1219" spans="12:13" x14ac:dyDescent="0.25">
      <c r="L1219" s="65">
        <v>251111</v>
      </c>
      <c r="M1219" t="s">
        <v>1156</v>
      </c>
    </row>
    <row r="1220" spans="12:13" x14ac:dyDescent="0.25">
      <c r="L1220" s="65">
        <v>251200</v>
      </c>
      <c r="M1220" t="s">
        <v>1157</v>
      </c>
    </row>
    <row r="1221" spans="12:13" x14ac:dyDescent="0.25">
      <c r="L1221" s="65">
        <v>251210</v>
      </c>
      <c r="M1221" t="s">
        <v>1157</v>
      </c>
    </row>
    <row r="1222" spans="12:13" x14ac:dyDescent="0.25">
      <c r="L1222" s="65">
        <v>251211</v>
      </c>
      <c r="M1222" t="s">
        <v>1157</v>
      </c>
    </row>
    <row r="1223" spans="12:13" x14ac:dyDescent="0.25">
      <c r="L1223" s="65">
        <v>251212</v>
      </c>
      <c r="M1223" t="s">
        <v>1158</v>
      </c>
    </row>
    <row r="1224" spans="12:13" x14ac:dyDescent="0.25">
      <c r="L1224" s="65">
        <v>251219</v>
      </c>
      <c r="M1224" t="s">
        <v>1159</v>
      </c>
    </row>
    <row r="1225" spans="12:13" x14ac:dyDescent="0.25">
      <c r="L1225" s="65">
        <v>251300</v>
      </c>
      <c r="M1225" t="s">
        <v>1160</v>
      </c>
    </row>
    <row r="1226" spans="12:13" x14ac:dyDescent="0.25">
      <c r="L1226" s="65">
        <v>251310</v>
      </c>
      <c r="M1226" t="s">
        <v>1160</v>
      </c>
    </row>
    <row r="1227" spans="12:13" x14ac:dyDescent="0.25">
      <c r="L1227" s="65">
        <v>251311</v>
      </c>
      <c r="M1227" t="s">
        <v>1160</v>
      </c>
    </row>
    <row r="1228" spans="12:13" x14ac:dyDescent="0.25">
      <c r="L1228" s="65">
        <v>252000</v>
      </c>
      <c r="M1228" t="s">
        <v>1161</v>
      </c>
    </row>
    <row r="1229" spans="12:13" x14ac:dyDescent="0.25">
      <c r="L1229" s="65">
        <v>252100</v>
      </c>
      <c r="M1229" t="s">
        <v>1162</v>
      </c>
    </row>
    <row r="1230" spans="12:13" x14ac:dyDescent="0.25">
      <c r="L1230" s="65">
        <v>252110</v>
      </c>
      <c r="M1230" t="s">
        <v>1162</v>
      </c>
    </row>
    <row r="1231" spans="12:13" x14ac:dyDescent="0.25">
      <c r="L1231" s="65">
        <v>252111</v>
      </c>
      <c r="M1231" t="s">
        <v>1162</v>
      </c>
    </row>
    <row r="1232" spans="12:13" x14ac:dyDescent="0.25">
      <c r="L1232" s="65">
        <v>252200</v>
      </c>
      <c r="M1232" t="s">
        <v>1163</v>
      </c>
    </row>
    <row r="1233" spans="12:13" x14ac:dyDescent="0.25">
      <c r="L1233" s="65">
        <v>252210</v>
      </c>
      <c r="M1233" t="s">
        <v>1163</v>
      </c>
    </row>
    <row r="1234" spans="12:13" x14ac:dyDescent="0.25">
      <c r="L1234" s="65">
        <v>252211</v>
      </c>
      <c r="M1234" t="s">
        <v>1163</v>
      </c>
    </row>
    <row r="1235" spans="12:13" x14ac:dyDescent="0.25">
      <c r="L1235" s="65">
        <v>253000</v>
      </c>
      <c r="M1235" t="s">
        <v>1164</v>
      </c>
    </row>
    <row r="1236" spans="12:13" x14ac:dyDescent="0.25">
      <c r="L1236" s="65">
        <v>253100</v>
      </c>
      <c r="M1236" t="s">
        <v>1164</v>
      </c>
    </row>
    <row r="1237" spans="12:13" x14ac:dyDescent="0.25">
      <c r="L1237" s="65">
        <v>253110</v>
      </c>
      <c r="M1237" t="s">
        <v>1164</v>
      </c>
    </row>
    <row r="1238" spans="12:13" x14ac:dyDescent="0.25">
      <c r="L1238" s="65">
        <v>253111</v>
      </c>
      <c r="M1238" t="s">
        <v>1165</v>
      </c>
    </row>
    <row r="1239" spans="12:13" x14ac:dyDescent="0.25">
      <c r="L1239" s="65">
        <v>253112</v>
      </c>
      <c r="M1239" t="s">
        <v>1166</v>
      </c>
    </row>
    <row r="1240" spans="12:13" x14ac:dyDescent="0.25">
      <c r="L1240" s="65">
        <v>254000</v>
      </c>
      <c r="M1240" t="s">
        <v>1167</v>
      </c>
    </row>
    <row r="1241" spans="12:13" x14ac:dyDescent="0.25">
      <c r="L1241" s="65">
        <v>254100</v>
      </c>
      <c r="M1241" t="s">
        <v>1168</v>
      </c>
    </row>
    <row r="1242" spans="12:13" x14ac:dyDescent="0.25">
      <c r="L1242" s="65">
        <v>254110</v>
      </c>
      <c r="M1242" t="s">
        <v>1168</v>
      </c>
    </row>
    <row r="1243" spans="12:13" x14ac:dyDescent="0.25">
      <c r="L1243" s="65">
        <v>254111</v>
      </c>
      <c r="M1243" t="s">
        <v>1169</v>
      </c>
    </row>
    <row r="1244" spans="12:13" x14ac:dyDescent="0.25">
      <c r="L1244" s="65">
        <v>254112</v>
      </c>
      <c r="M1244" t="s">
        <v>1170</v>
      </c>
    </row>
    <row r="1245" spans="12:13" x14ac:dyDescent="0.25">
      <c r="L1245" s="65">
        <v>254113</v>
      </c>
      <c r="M1245" t="s">
        <v>1171</v>
      </c>
    </row>
    <row r="1246" spans="12:13" x14ac:dyDescent="0.25">
      <c r="L1246" s="65">
        <v>254114</v>
      </c>
      <c r="M1246" t="s">
        <v>1172</v>
      </c>
    </row>
    <row r="1247" spans="12:13" x14ac:dyDescent="0.25">
      <c r="L1247" s="65">
        <v>254200</v>
      </c>
      <c r="M1247" t="s">
        <v>1173</v>
      </c>
    </row>
    <row r="1248" spans="12:13" x14ac:dyDescent="0.25">
      <c r="L1248" s="65">
        <v>254210</v>
      </c>
      <c r="M1248" t="s">
        <v>1173</v>
      </c>
    </row>
    <row r="1249" spans="12:13" x14ac:dyDescent="0.25">
      <c r="L1249" s="65">
        <v>254211</v>
      </c>
      <c r="M1249" t="s">
        <v>1173</v>
      </c>
    </row>
    <row r="1250" spans="12:13" x14ac:dyDescent="0.25">
      <c r="L1250" s="65">
        <v>254900</v>
      </c>
      <c r="M1250" t="s">
        <v>1174</v>
      </c>
    </row>
    <row r="1251" spans="12:13" x14ac:dyDescent="0.25">
      <c r="L1251" s="65">
        <v>254910</v>
      </c>
      <c r="M1251" t="s">
        <v>1175</v>
      </c>
    </row>
    <row r="1252" spans="12:13" x14ac:dyDescent="0.25">
      <c r="L1252" s="65">
        <v>254911</v>
      </c>
      <c r="M1252" t="s">
        <v>1176</v>
      </c>
    </row>
    <row r="1253" spans="12:13" x14ac:dyDescent="0.25">
      <c r="L1253" s="65">
        <v>254912</v>
      </c>
      <c r="M1253" t="s">
        <v>1177</v>
      </c>
    </row>
    <row r="1254" spans="12:13" x14ac:dyDescent="0.25">
      <c r="L1254" s="65">
        <v>254913</v>
      </c>
      <c r="M1254" t="s">
        <v>1178</v>
      </c>
    </row>
    <row r="1255" spans="12:13" x14ac:dyDescent="0.25">
      <c r="L1255" s="65">
        <v>254920</v>
      </c>
      <c r="M1255" t="s">
        <v>1179</v>
      </c>
    </row>
    <row r="1256" spans="12:13" x14ac:dyDescent="0.25">
      <c r="L1256" s="65">
        <v>254921</v>
      </c>
      <c r="M1256" t="s">
        <v>1180</v>
      </c>
    </row>
    <row r="1257" spans="12:13" x14ac:dyDescent="0.25">
      <c r="L1257" s="65">
        <v>254922</v>
      </c>
      <c r="M1257" t="s">
        <v>1181</v>
      </c>
    </row>
    <row r="1258" spans="12:13" x14ac:dyDescent="0.25">
      <c r="L1258" s="65">
        <v>254930</v>
      </c>
      <c r="M1258" t="s">
        <v>1182</v>
      </c>
    </row>
    <row r="1259" spans="12:13" x14ac:dyDescent="0.25">
      <c r="L1259" s="65">
        <v>254931</v>
      </c>
      <c r="M1259" t="s">
        <v>1182</v>
      </c>
    </row>
    <row r="1260" spans="12:13" x14ac:dyDescent="0.25">
      <c r="L1260" s="65">
        <v>254932</v>
      </c>
      <c r="M1260" t="s">
        <v>1183</v>
      </c>
    </row>
    <row r="1261" spans="12:13" x14ac:dyDescent="0.25">
      <c r="L1261" s="65">
        <v>290000</v>
      </c>
      <c r="M1261" t="s">
        <v>1184</v>
      </c>
    </row>
    <row r="1262" spans="12:13" x14ac:dyDescent="0.25">
      <c r="L1262" s="65">
        <v>291000</v>
      </c>
      <c r="M1262" t="s">
        <v>1184</v>
      </c>
    </row>
    <row r="1263" spans="12:13" x14ac:dyDescent="0.25">
      <c r="L1263" s="65">
        <v>291100</v>
      </c>
      <c r="M1263" t="s">
        <v>1185</v>
      </c>
    </row>
    <row r="1264" spans="12:13" x14ac:dyDescent="0.25">
      <c r="L1264" s="65">
        <v>291110</v>
      </c>
      <c r="M1264" t="s">
        <v>1186</v>
      </c>
    </row>
    <row r="1265" spans="12:13" x14ac:dyDescent="0.25">
      <c r="L1265" s="65">
        <v>291111</v>
      </c>
      <c r="M1265" t="s">
        <v>1186</v>
      </c>
    </row>
    <row r="1266" spans="12:13" x14ac:dyDescent="0.25">
      <c r="L1266" s="65">
        <v>291190</v>
      </c>
      <c r="M1266" t="s">
        <v>1187</v>
      </c>
    </row>
    <row r="1267" spans="12:13" x14ac:dyDescent="0.25">
      <c r="L1267" s="65">
        <v>291191</v>
      </c>
      <c r="M1267" t="s">
        <v>1187</v>
      </c>
    </row>
    <row r="1268" spans="12:13" x14ac:dyDescent="0.25">
      <c r="L1268" s="65">
        <v>291200</v>
      </c>
      <c r="M1268" t="s">
        <v>1188</v>
      </c>
    </row>
    <row r="1269" spans="12:13" x14ac:dyDescent="0.25">
      <c r="L1269" s="65">
        <v>291210</v>
      </c>
      <c r="M1269" t="s">
        <v>1189</v>
      </c>
    </row>
    <row r="1270" spans="12:13" x14ac:dyDescent="0.25">
      <c r="L1270" s="65">
        <v>291211</v>
      </c>
      <c r="M1270" t="s">
        <v>1190</v>
      </c>
    </row>
    <row r="1271" spans="12:13" x14ac:dyDescent="0.25">
      <c r="L1271" s="65">
        <v>291212</v>
      </c>
      <c r="M1271" t="s">
        <v>1191</v>
      </c>
    </row>
    <row r="1272" spans="12:13" x14ac:dyDescent="0.25">
      <c r="L1272" s="65">
        <v>291213</v>
      </c>
      <c r="M1272" t="s">
        <v>1192</v>
      </c>
    </row>
    <row r="1273" spans="12:13" x14ac:dyDescent="0.25">
      <c r="L1273" s="65">
        <v>291220</v>
      </c>
      <c r="M1273" t="s">
        <v>1193</v>
      </c>
    </row>
    <row r="1274" spans="12:13" x14ac:dyDescent="0.25">
      <c r="L1274" s="65">
        <v>291221</v>
      </c>
      <c r="M1274" t="s">
        <v>1193</v>
      </c>
    </row>
    <row r="1275" spans="12:13" x14ac:dyDescent="0.25">
      <c r="L1275" s="65">
        <v>291300</v>
      </c>
      <c r="M1275" t="s">
        <v>1194</v>
      </c>
    </row>
    <row r="1276" spans="12:13" x14ac:dyDescent="0.25">
      <c r="L1276" s="65">
        <v>291310</v>
      </c>
      <c r="M1276" t="s">
        <v>1194</v>
      </c>
    </row>
    <row r="1277" spans="12:13" x14ac:dyDescent="0.25">
      <c r="L1277" s="65">
        <v>291311</v>
      </c>
      <c r="M1277" t="s">
        <v>1195</v>
      </c>
    </row>
    <row r="1278" spans="12:13" x14ac:dyDescent="0.25">
      <c r="L1278" s="65">
        <v>291312</v>
      </c>
      <c r="M1278" t="s">
        <v>1196</v>
      </c>
    </row>
    <row r="1279" spans="12:13" x14ac:dyDescent="0.25">
      <c r="L1279" s="65">
        <v>291900</v>
      </c>
      <c r="M1279" t="s">
        <v>1197</v>
      </c>
    </row>
    <row r="1280" spans="12:13" x14ac:dyDescent="0.25">
      <c r="L1280" s="65">
        <v>291910</v>
      </c>
      <c r="M1280" t="s">
        <v>1197</v>
      </c>
    </row>
    <row r="1281" spans="12:13" x14ac:dyDescent="0.25">
      <c r="L1281" s="65">
        <v>291911</v>
      </c>
      <c r="M1281" t="s">
        <v>1198</v>
      </c>
    </row>
    <row r="1282" spans="12:13" x14ac:dyDescent="0.25">
      <c r="L1282" s="65">
        <v>291919</v>
      </c>
      <c r="M1282" t="s">
        <v>1197</v>
      </c>
    </row>
    <row r="1283" spans="12:13" x14ac:dyDescent="0.25">
      <c r="L1283" s="65">
        <v>300000</v>
      </c>
      <c r="M1283" t="s">
        <v>1199</v>
      </c>
    </row>
    <row r="1284" spans="12:13" x14ac:dyDescent="0.25">
      <c r="L1284" s="65">
        <v>310000</v>
      </c>
      <c r="M1284" t="s">
        <v>1200</v>
      </c>
    </row>
    <row r="1285" spans="12:13" x14ac:dyDescent="0.25">
      <c r="L1285" s="65">
        <v>311000</v>
      </c>
      <c r="M1285" t="s">
        <v>1200</v>
      </c>
    </row>
    <row r="1286" spans="12:13" x14ac:dyDescent="0.25">
      <c r="L1286" s="65">
        <v>311100</v>
      </c>
      <c r="M1286" t="s">
        <v>267</v>
      </c>
    </row>
    <row r="1287" spans="12:13" x14ac:dyDescent="0.25">
      <c r="L1287" s="66">
        <v>311110</v>
      </c>
      <c r="M1287" t="s">
        <v>1201</v>
      </c>
    </row>
    <row r="1288" spans="12:13" x14ac:dyDescent="0.25">
      <c r="L1288" s="65">
        <v>311111</v>
      </c>
      <c r="M1288" t="s">
        <v>269</v>
      </c>
    </row>
    <row r="1289" spans="12:13" x14ac:dyDescent="0.25">
      <c r="L1289" s="65">
        <v>311112</v>
      </c>
      <c r="M1289" t="s">
        <v>325</v>
      </c>
    </row>
    <row r="1290" spans="12:13" x14ac:dyDescent="0.25">
      <c r="L1290" s="65">
        <v>311113</v>
      </c>
      <c r="M1290" t="s">
        <v>392</v>
      </c>
    </row>
    <row r="1291" spans="12:13" x14ac:dyDescent="0.25">
      <c r="L1291" s="65">
        <v>311120</v>
      </c>
      <c r="M1291" t="s">
        <v>397</v>
      </c>
    </row>
    <row r="1292" spans="12:13" x14ac:dyDescent="0.25">
      <c r="L1292" s="65">
        <v>311121</v>
      </c>
      <c r="M1292" t="s">
        <v>397</v>
      </c>
    </row>
    <row r="1293" spans="12:13" x14ac:dyDescent="0.25">
      <c r="L1293" s="65">
        <v>311130</v>
      </c>
      <c r="M1293" t="s">
        <v>403</v>
      </c>
    </row>
    <row r="1294" spans="12:13" x14ac:dyDescent="0.25">
      <c r="L1294" s="65">
        <v>311131</v>
      </c>
      <c r="M1294" t="s">
        <v>403</v>
      </c>
    </row>
    <row r="1295" spans="12:13" x14ac:dyDescent="0.25">
      <c r="L1295" s="65">
        <v>311140</v>
      </c>
      <c r="M1295" t="s">
        <v>1202</v>
      </c>
    </row>
    <row r="1296" spans="12:13" x14ac:dyDescent="0.25">
      <c r="L1296" s="65">
        <v>311141</v>
      </c>
      <c r="M1296" t="s">
        <v>1202</v>
      </c>
    </row>
    <row r="1297" spans="12:13" x14ac:dyDescent="0.25">
      <c r="L1297" s="65">
        <v>311150</v>
      </c>
      <c r="M1297" t="s">
        <v>439</v>
      </c>
    </row>
    <row r="1298" spans="12:13" x14ac:dyDescent="0.25">
      <c r="L1298" s="65">
        <v>311151</v>
      </c>
      <c r="M1298" t="s">
        <v>439</v>
      </c>
    </row>
    <row r="1299" spans="12:13" x14ac:dyDescent="0.25">
      <c r="L1299" s="65">
        <v>311160</v>
      </c>
      <c r="M1299" t="s">
        <v>489</v>
      </c>
    </row>
    <row r="1300" spans="12:13" x14ac:dyDescent="0.25">
      <c r="L1300" s="65">
        <v>311161</v>
      </c>
      <c r="M1300" t="s">
        <v>489</v>
      </c>
    </row>
    <row r="1301" spans="12:13" x14ac:dyDescent="0.25">
      <c r="L1301" s="65">
        <v>311200</v>
      </c>
      <c r="M1301" t="s">
        <v>520</v>
      </c>
    </row>
    <row r="1302" spans="12:13" x14ac:dyDescent="0.25">
      <c r="L1302" s="65">
        <v>311210</v>
      </c>
      <c r="M1302" t="s">
        <v>1203</v>
      </c>
    </row>
    <row r="1303" spans="12:13" x14ac:dyDescent="0.25">
      <c r="L1303" s="65">
        <v>311211</v>
      </c>
      <c r="M1303" t="s">
        <v>1203</v>
      </c>
    </row>
    <row r="1304" spans="12:13" x14ac:dyDescent="0.25">
      <c r="L1304" s="65">
        <v>311220</v>
      </c>
      <c r="M1304" t="s">
        <v>1204</v>
      </c>
    </row>
    <row r="1305" spans="12:13" x14ac:dyDescent="0.25">
      <c r="L1305" s="65">
        <v>311221</v>
      </c>
      <c r="M1305" t="s">
        <v>1204</v>
      </c>
    </row>
    <row r="1306" spans="12:13" x14ac:dyDescent="0.25">
      <c r="L1306" s="65">
        <v>311230</v>
      </c>
      <c r="M1306" t="s">
        <v>1205</v>
      </c>
    </row>
    <row r="1307" spans="12:13" x14ac:dyDescent="0.25">
      <c r="L1307" s="65">
        <v>311231</v>
      </c>
      <c r="M1307" t="s">
        <v>1205</v>
      </c>
    </row>
    <row r="1308" spans="12:13" x14ac:dyDescent="0.25">
      <c r="L1308" s="65">
        <v>311240</v>
      </c>
      <c r="M1308" t="s">
        <v>1206</v>
      </c>
    </row>
    <row r="1309" spans="12:13" x14ac:dyDescent="0.25">
      <c r="L1309" s="65">
        <v>311241</v>
      </c>
      <c r="M1309" t="s">
        <v>1206</v>
      </c>
    </row>
    <row r="1310" spans="12:13" x14ac:dyDescent="0.25">
      <c r="L1310" s="65">
        <v>311250</v>
      </c>
      <c r="M1310" t="s">
        <v>1207</v>
      </c>
    </row>
    <row r="1311" spans="12:13" x14ac:dyDescent="0.25">
      <c r="L1311" s="65">
        <v>311251</v>
      </c>
      <c r="M1311" t="s">
        <v>1207</v>
      </c>
    </row>
    <row r="1312" spans="12:13" x14ac:dyDescent="0.25">
      <c r="L1312" s="65">
        <v>311260</v>
      </c>
      <c r="M1312" t="s">
        <v>540</v>
      </c>
    </row>
    <row r="1313" spans="12:13" x14ac:dyDescent="0.25">
      <c r="L1313" s="65">
        <v>311261</v>
      </c>
      <c r="M1313" t="s">
        <v>540</v>
      </c>
    </row>
    <row r="1314" spans="12:13" x14ac:dyDescent="0.25">
      <c r="L1314" s="65">
        <v>311270</v>
      </c>
      <c r="M1314" t="s">
        <v>537</v>
      </c>
    </row>
    <row r="1315" spans="12:13" x14ac:dyDescent="0.25">
      <c r="L1315" s="65">
        <v>311271</v>
      </c>
      <c r="M1315" t="s">
        <v>537</v>
      </c>
    </row>
    <row r="1316" spans="12:13" x14ac:dyDescent="0.25">
      <c r="L1316" s="65">
        <v>311300</v>
      </c>
      <c r="M1316" t="s">
        <v>1208</v>
      </c>
    </row>
    <row r="1317" spans="12:13" x14ac:dyDescent="0.25">
      <c r="L1317" s="65">
        <v>311310</v>
      </c>
      <c r="M1317" t="s">
        <v>1208</v>
      </c>
    </row>
    <row r="1318" spans="12:13" x14ac:dyDescent="0.25">
      <c r="L1318" s="65">
        <v>311311</v>
      </c>
      <c r="M1318" t="s">
        <v>1208</v>
      </c>
    </row>
    <row r="1319" spans="12:13" x14ac:dyDescent="0.25">
      <c r="L1319" s="65">
        <v>311400</v>
      </c>
      <c r="M1319" t="s">
        <v>560</v>
      </c>
    </row>
    <row r="1320" spans="12:13" x14ac:dyDescent="0.25">
      <c r="L1320" s="65">
        <v>311410</v>
      </c>
      <c r="M1320" t="s">
        <v>560</v>
      </c>
    </row>
    <row r="1321" spans="12:13" x14ac:dyDescent="0.25">
      <c r="L1321" s="65">
        <v>311411</v>
      </c>
      <c r="M1321" t="s">
        <v>562</v>
      </c>
    </row>
    <row r="1322" spans="12:13" x14ac:dyDescent="0.25">
      <c r="L1322" s="65">
        <v>311412</v>
      </c>
      <c r="M1322" t="s">
        <v>1209</v>
      </c>
    </row>
    <row r="1323" spans="12:13" x14ac:dyDescent="0.25">
      <c r="L1323" s="65">
        <v>311419</v>
      </c>
      <c r="M1323" t="s">
        <v>1210</v>
      </c>
    </row>
    <row r="1324" spans="12:13" x14ac:dyDescent="0.25">
      <c r="L1324" s="65">
        <v>311500</v>
      </c>
      <c r="M1324" t="s">
        <v>1211</v>
      </c>
    </row>
    <row r="1325" spans="12:13" x14ac:dyDescent="0.25">
      <c r="L1325" s="65">
        <v>311510</v>
      </c>
      <c r="M1325" t="s">
        <v>1211</v>
      </c>
    </row>
    <row r="1326" spans="12:13" x14ac:dyDescent="0.25">
      <c r="L1326" s="65">
        <v>311511</v>
      </c>
      <c r="M1326" t="s">
        <v>1212</v>
      </c>
    </row>
    <row r="1327" spans="12:13" x14ac:dyDescent="0.25">
      <c r="L1327" s="65">
        <v>311512</v>
      </c>
      <c r="M1327" t="s">
        <v>1213</v>
      </c>
    </row>
    <row r="1328" spans="12:13" x14ac:dyDescent="0.25">
      <c r="L1328" s="65">
        <v>311513</v>
      </c>
      <c r="M1328" t="s">
        <v>1214</v>
      </c>
    </row>
    <row r="1329" spans="12:13" x14ac:dyDescent="0.25">
      <c r="L1329" s="65">
        <v>311519</v>
      </c>
      <c r="M1329" t="s">
        <v>1215</v>
      </c>
    </row>
    <row r="1330" spans="12:13" x14ac:dyDescent="0.25">
      <c r="L1330" s="65">
        <v>311600</v>
      </c>
      <c r="M1330" t="s">
        <v>1216</v>
      </c>
    </row>
    <row r="1331" spans="12:13" x14ac:dyDescent="0.25">
      <c r="L1331" s="65">
        <v>311610</v>
      </c>
      <c r="M1331" t="s">
        <v>1217</v>
      </c>
    </row>
    <row r="1332" spans="12:13" x14ac:dyDescent="0.25">
      <c r="L1332" s="65">
        <v>311611</v>
      </c>
      <c r="M1332" t="s">
        <v>1218</v>
      </c>
    </row>
    <row r="1333" spans="12:13" x14ac:dyDescent="0.25">
      <c r="L1333" s="65">
        <v>311612</v>
      </c>
      <c r="M1333" t="s">
        <v>1219</v>
      </c>
    </row>
    <row r="1334" spans="12:13" x14ac:dyDescent="0.25">
      <c r="L1334" s="65">
        <v>311700</v>
      </c>
      <c r="M1334" t="s">
        <v>1220</v>
      </c>
    </row>
    <row r="1335" spans="12:13" x14ac:dyDescent="0.25">
      <c r="L1335" s="65">
        <v>311710</v>
      </c>
      <c r="M1335" t="s">
        <v>1220</v>
      </c>
    </row>
    <row r="1336" spans="12:13" x14ac:dyDescent="0.25">
      <c r="L1336" s="65">
        <v>311711</v>
      </c>
      <c r="M1336" t="s">
        <v>1221</v>
      </c>
    </row>
    <row r="1337" spans="12:13" x14ac:dyDescent="0.25">
      <c r="L1337" s="65">
        <v>311712</v>
      </c>
      <c r="M1337" t="s">
        <v>1222</v>
      </c>
    </row>
    <row r="1338" spans="12:13" x14ac:dyDescent="0.25">
      <c r="L1338" s="65">
        <v>311713</v>
      </c>
      <c r="M1338" t="s">
        <v>1223</v>
      </c>
    </row>
    <row r="1339" spans="12:13" x14ac:dyDescent="0.25">
      <c r="L1339" s="65">
        <v>311900</v>
      </c>
      <c r="M1339" t="s">
        <v>1224</v>
      </c>
    </row>
    <row r="1340" spans="12:13" x14ac:dyDescent="0.25">
      <c r="L1340" s="65">
        <v>311910</v>
      </c>
      <c r="M1340" t="s">
        <v>1224</v>
      </c>
    </row>
    <row r="1341" spans="12:13" x14ac:dyDescent="0.25">
      <c r="L1341" s="65">
        <v>311911</v>
      </c>
      <c r="M1341" t="s">
        <v>1224</v>
      </c>
    </row>
    <row r="1342" spans="12:13" x14ac:dyDescent="0.25">
      <c r="L1342" s="65">
        <v>320000</v>
      </c>
      <c r="M1342" t="s">
        <v>1225</v>
      </c>
    </row>
    <row r="1343" spans="12:13" x14ac:dyDescent="0.25">
      <c r="L1343" s="65">
        <v>321000</v>
      </c>
      <c r="M1343" t="s">
        <v>1225</v>
      </c>
    </row>
    <row r="1344" spans="12:13" x14ac:dyDescent="0.25">
      <c r="L1344" s="65">
        <v>321100</v>
      </c>
      <c r="M1344" t="s">
        <v>1225</v>
      </c>
    </row>
    <row r="1345" spans="12:13" x14ac:dyDescent="0.25">
      <c r="L1345" s="65">
        <v>321110</v>
      </c>
      <c r="M1345" t="s">
        <v>1226</v>
      </c>
    </row>
    <row r="1346" spans="12:13" x14ac:dyDescent="0.25">
      <c r="L1346" s="65">
        <v>321111</v>
      </c>
      <c r="M1346" t="s">
        <v>1226</v>
      </c>
    </row>
    <row r="1347" spans="12:13" x14ac:dyDescent="0.25">
      <c r="L1347" s="65">
        <v>321120</v>
      </c>
      <c r="M1347" t="s">
        <v>1227</v>
      </c>
    </row>
    <row r="1348" spans="12:13" x14ac:dyDescent="0.25">
      <c r="L1348" s="65">
        <v>321121</v>
      </c>
      <c r="M1348" t="s">
        <v>1228</v>
      </c>
    </row>
    <row r="1349" spans="12:13" x14ac:dyDescent="0.25">
      <c r="L1349" s="65">
        <v>321122</v>
      </c>
      <c r="M1349" t="s">
        <v>1229</v>
      </c>
    </row>
    <row r="1350" spans="12:13" x14ac:dyDescent="0.25">
      <c r="L1350" s="65">
        <v>321200</v>
      </c>
      <c r="M1350" t="s">
        <v>1230</v>
      </c>
    </row>
    <row r="1351" spans="12:13" x14ac:dyDescent="0.25">
      <c r="L1351" s="65">
        <v>321210</v>
      </c>
      <c r="M1351" t="s">
        <v>1230</v>
      </c>
    </row>
    <row r="1352" spans="12:13" x14ac:dyDescent="0.25">
      <c r="L1352" s="65">
        <v>321211</v>
      </c>
      <c r="M1352" t="s">
        <v>1230</v>
      </c>
    </row>
    <row r="1353" spans="12:13" x14ac:dyDescent="0.25">
      <c r="L1353" s="65">
        <v>321300</v>
      </c>
      <c r="M1353" t="s">
        <v>1231</v>
      </c>
    </row>
    <row r="1354" spans="12:13" x14ac:dyDescent="0.25">
      <c r="L1354" s="65">
        <v>321310</v>
      </c>
      <c r="M1354" t="s">
        <v>1231</v>
      </c>
    </row>
    <row r="1355" spans="12:13" x14ac:dyDescent="0.25">
      <c r="L1355" s="65">
        <v>321311</v>
      </c>
      <c r="M1355" t="s">
        <v>1232</v>
      </c>
    </row>
    <row r="1356" spans="12:13" x14ac:dyDescent="0.25">
      <c r="L1356" s="65">
        <v>321312</v>
      </c>
      <c r="M1356" t="s">
        <v>1233</v>
      </c>
    </row>
    <row r="1357" spans="12:13" x14ac:dyDescent="0.25">
      <c r="L1357" s="65">
        <v>330000</v>
      </c>
      <c r="M1357" t="s">
        <v>1234</v>
      </c>
    </row>
    <row r="1358" spans="12:13" x14ac:dyDescent="0.25">
      <c r="L1358" s="65">
        <v>331000</v>
      </c>
      <c r="M1358" t="s">
        <v>1234</v>
      </c>
    </row>
    <row r="1359" spans="12:13" x14ac:dyDescent="0.25">
      <c r="L1359" s="65">
        <v>331100</v>
      </c>
      <c r="M1359" t="s">
        <v>1234</v>
      </c>
    </row>
    <row r="1360" spans="12:13" x14ac:dyDescent="0.25">
      <c r="L1360" s="65">
        <v>331110</v>
      </c>
      <c r="M1360" t="s">
        <v>276</v>
      </c>
    </row>
    <row r="1361" spans="12:13" x14ac:dyDescent="0.25">
      <c r="L1361" s="65">
        <v>331111</v>
      </c>
      <c r="M1361" t="s">
        <v>276</v>
      </c>
    </row>
    <row r="1362" spans="12:13" x14ac:dyDescent="0.25">
      <c r="L1362" s="65">
        <v>331120</v>
      </c>
      <c r="M1362" t="s">
        <v>1235</v>
      </c>
    </row>
    <row r="1363" spans="12:13" x14ac:dyDescent="0.25">
      <c r="L1363" s="65">
        <v>331121</v>
      </c>
      <c r="M1363" t="s">
        <v>1235</v>
      </c>
    </row>
    <row r="1364" spans="12:13" x14ac:dyDescent="0.25">
      <c r="L1364" s="65">
        <v>331130</v>
      </c>
      <c r="M1364" t="s">
        <v>1236</v>
      </c>
    </row>
    <row r="1365" spans="12:13" x14ac:dyDescent="0.25">
      <c r="L1365" s="65">
        <v>331131</v>
      </c>
      <c r="M1365" t="s">
        <v>1236</v>
      </c>
    </row>
    <row r="1366" spans="12:13" x14ac:dyDescent="0.25">
      <c r="L1366" s="65">
        <v>331140</v>
      </c>
      <c r="M1366" t="s">
        <v>1237</v>
      </c>
    </row>
    <row r="1367" spans="12:13" x14ac:dyDescent="0.25">
      <c r="L1367" s="65">
        <v>331141</v>
      </c>
      <c r="M1367" t="s">
        <v>1237</v>
      </c>
    </row>
    <row r="1368" spans="12:13" x14ac:dyDescent="0.25">
      <c r="L1368" s="65">
        <v>331150</v>
      </c>
      <c r="M1368" t="s">
        <v>409</v>
      </c>
    </row>
    <row r="1369" spans="12:13" x14ac:dyDescent="0.25">
      <c r="L1369" s="65">
        <v>331151</v>
      </c>
      <c r="M1369" t="s">
        <v>409</v>
      </c>
    </row>
    <row r="1370" spans="12:13" x14ac:dyDescent="0.25">
      <c r="L1370" s="65">
        <v>331160</v>
      </c>
      <c r="M1370" t="s">
        <v>1238</v>
      </c>
    </row>
    <row r="1371" spans="12:13" x14ac:dyDescent="0.25">
      <c r="L1371" s="65">
        <v>331161</v>
      </c>
      <c r="M1371" t="s">
        <v>1239</v>
      </c>
    </row>
    <row r="1372" spans="12:13" x14ac:dyDescent="0.25">
      <c r="L1372" s="65">
        <v>331170</v>
      </c>
      <c r="M1372" t="s">
        <v>1240</v>
      </c>
    </row>
    <row r="1373" spans="12:13" x14ac:dyDescent="0.25">
      <c r="L1373" s="65">
        <v>331171</v>
      </c>
      <c r="M1373" t="s">
        <v>1240</v>
      </c>
    </row>
    <row r="1374" spans="12:13" x14ac:dyDescent="0.25">
      <c r="L1374" s="65">
        <v>331180</v>
      </c>
      <c r="M1374" t="s">
        <v>1241</v>
      </c>
    </row>
    <row r="1375" spans="12:13" x14ac:dyDescent="0.25">
      <c r="L1375" s="65">
        <v>331181</v>
      </c>
      <c r="M1375" t="s">
        <v>1241</v>
      </c>
    </row>
    <row r="1376" spans="12:13" x14ac:dyDescent="0.25">
      <c r="L1376" s="65">
        <v>340000</v>
      </c>
      <c r="M1376" t="s">
        <v>1242</v>
      </c>
    </row>
    <row r="1377" spans="12:13" x14ac:dyDescent="0.25">
      <c r="L1377" s="65">
        <v>341000</v>
      </c>
      <c r="M1377" t="s">
        <v>1242</v>
      </c>
    </row>
    <row r="1378" spans="12:13" x14ac:dyDescent="0.25">
      <c r="L1378" s="65">
        <v>341100</v>
      </c>
      <c r="M1378" t="s">
        <v>1242</v>
      </c>
    </row>
    <row r="1379" spans="12:13" x14ac:dyDescent="0.25">
      <c r="L1379" s="65">
        <v>341110</v>
      </c>
      <c r="M1379" t="s">
        <v>277</v>
      </c>
    </row>
    <row r="1380" spans="12:13" x14ac:dyDescent="0.25">
      <c r="L1380" s="65">
        <v>341111</v>
      </c>
      <c r="M1380" t="s">
        <v>277</v>
      </c>
    </row>
    <row r="1381" spans="12:13" x14ac:dyDescent="0.25">
      <c r="L1381" s="65">
        <v>341120</v>
      </c>
      <c r="M1381" t="s">
        <v>1243</v>
      </c>
    </row>
    <row r="1382" spans="12:13" x14ac:dyDescent="0.25">
      <c r="L1382" s="65">
        <v>341121</v>
      </c>
      <c r="M1382" t="s">
        <v>1243</v>
      </c>
    </row>
    <row r="1383" spans="12:13" x14ac:dyDescent="0.25">
      <c r="L1383" s="65">
        <v>341130</v>
      </c>
      <c r="M1383" t="s">
        <v>1244</v>
      </c>
    </row>
    <row r="1384" spans="12:13" x14ac:dyDescent="0.25">
      <c r="L1384" s="65">
        <v>341131</v>
      </c>
      <c r="M1384" t="s">
        <v>1244</v>
      </c>
    </row>
    <row r="1385" spans="12:13" x14ac:dyDescent="0.25">
      <c r="L1385" s="65">
        <v>341140</v>
      </c>
      <c r="M1385" t="s">
        <v>401</v>
      </c>
    </row>
    <row r="1386" spans="12:13" x14ac:dyDescent="0.25">
      <c r="L1386" s="65">
        <v>341141</v>
      </c>
      <c r="M1386" t="s">
        <v>401</v>
      </c>
    </row>
    <row r="1387" spans="12:13" x14ac:dyDescent="0.25">
      <c r="L1387" s="65">
        <v>341150</v>
      </c>
      <c r="M1387" t="s">
        <v>410</v>
      </c>
    </row>
    <row r="1388" spans="12:13" x14ac:dyDescent="0.25">
      <c r="L1388" s="65">
        <v>341151</v>
      </c>
      <c r="M1388" t="s">
        <v>410</v>
      </c>
    </row>
    <row r="1389" spans="12:13" x14ac:dyDescent="0.25">
      <c r="L1389" s="65">
        <v>341160</v>
      </c>
      <c r="M1389" t="s">
        <v>1245</v>
      </c>
    </row>
    <row r="1390" spans="12:13" x14ac:dyDescent="0.25">
      <c r="L1390" s="65">
        <v>341161</v>
      </c>
      <c r="M1390" t="s">
        <v>1245</v>
      </c>
    </row>
    <row r="1391" spans="12:13" x14ac:dyDescent="0.25">
      <c r="L1391" s="65">
        <v>341170</v>
      </c>
      <c r="M1391" t="s">
        <v>508</v>
      </c>
    </row>
    <row r="1392" spans="12:13" x14ac:dyDescent="0.25">
      <c r="L1392" s="65">
        <v>341171</v>
      </c>
      <c r="M1392" t="s">
        <v>508</v>
      </c>
    </row>
    <row r="1393" spans="12:13" x14ac:dyDescent="0.25">
      <c r="L1393" s="65">
        <v>341180</v>
      </c>
      <c r="M1393" t="s">
        <v>1246</v>
      </c>
    </row>
    <row r="1394" spans="12:13" x14ac:dyDescent="0.25">
      <c r="L1394" s="65">
        <v>341181</v>
      </c>
      <c r="M1394" t="s">
        <v>1246</v>
      </c>
    </row>
    <row r="1395" spans="12:13" x14ac:dyDescent="0.25">
      <c r="L1395" s="65">
        <v>350000</v>
      </c>
      <c r="M1395" t="s">
        <v>1247</v>
      </c>
    </row>
    <row r="1396" spans="12:13" x14ac:dyDescent="0.25">
      <c r="L1396" s="65">
        <v>351000</v>
      </c>
      <c r="M1396" t="s">
        <v>1248</v>
      </c>
    </row>
    <row r="1397" spans="12:13" x14ac:dyDescent="0.25">
      <c r="L1397" s="65">
        <v>351100</v>
      </c>
      <c r="M1397" t="s">
        <v>1248</v>
      </c>
    </row>
    <row r="1398" spans="12:13" x14ac:dyDescent="0.25">
      <c r="L1398" s="65">
        <v>351110</v>
      </c>
      <c r="M1398" t="s">
        <v>1249</v>
      </c>
    </row>
    <row r="1399" spans="12:13" x14ac:dyDescent="0.25">
      <c r="L1399" s="65">
        <v>351111</v>
      </c>
      <c r="M1399" t="s">
        <v>1249</v>
      </c>
    </row>
    <row r="1400" spans="12:13" x14ac:dyDescent="0.25">
      <c r="L1400" s="65">
        <v>351120</v>
      </c>
      <c r="M1400" t="s">
        <v>1250</v>
      </c>
    </row>
    <row r="1401" spans="12:13" x14ac:dyDescent="0.25">
      <c r="L1401" s="65">
        <v>351121</v>
      </c>
      <c r="M1401" t="s">
        <v>1251</v>
      </c>
    </row>
    <row r="1402" spans="12:13" x14ac:dyDescent="0.25">
      <c r="L1402" s="65">
        <v>351122</v>
      </c>
      <c r="M1402" t="s">
        <v>1252</v>
      </c>
    </row>
    <row r="1403" spans="12:13" x14ac:dyDescent="0.25">
      <c r="L1403" s="65">
        <v>351123</v>
      </c>
      <c r="M1403" t="s">
        <v>1253</v>
      </c>
    </row>
    <row r="1404" spans="12:13" x14ac:dyDescent="0.25">
      <c r="L1404" s="65">
        <v>351130</v>
      </c>
      <c r="M1404" t="s">
        <v>1254</v>
      </c>
    </row>
    <row r="1405" spans="12:13" x14ac:dyDescent="0.25">
      <c r="L1405" s="65">
        <v>351131</v>
      </c>
      <c r="M1405" t="s">
        <v>1254</v>
      </c>
    </row>
    <row r="1406" spans="12:13" x14ac:dyDescent="0.25">
      <c r="L1406" s="65">
        <v>351140</v>
      </c>
      <c r="M1406" t="s">
        <v>1255</v>
      </c>
    </row>
    <row r="1407" spans="12:13" x14ac:dyDescent="0.25">
      <c r="L1407" s="65">
        <v>351141</v>
      </c>
      <c r="M1407" t="s">
        <v>1255</v>
      </c>
    </row>
    <row r="1408" spans="12:13" x14ac:dyDescent="0.25">
      <c r="L1408" s="65">
        <v>351150</v>
      </c>
      <c r="M1408" t="s">
        <v>1256</v>
      </c>
    </row>
    <row r="1409" spans="12:13" x14ac:dyDescent="0.25">
      <c r="L1409" s="65">
        <v>351151</v>
      </c>
      <c r="M1409" t="s">
        <v>1256</v>
      </c>
    </row>
    <row r="1410" spans="12:13" x14ac:dyDescent="0.25">
      <c r="L1410" s="65">
        <v>352000</v>
      </c>
      <c r="M1410" t="s">
        <v>1257</v>
      </c>
    </row>
    <row r="1411" spans="12:13" x14ac:dyDescent="0.25">
      <c r="L1411" s="65">
        <v>352100</v>
      </c>
      <c r="M1411" t="s">
        <v>1257</v>
      </c>
    </row>
    <row r="1412" spans="12:13" x14ac:dyDescent="0.25">
      <c r="L1412" s="65">
        <v>352110</v>
      </c>
      <c r="M1412" t="s">
        <v>1258</v>
      </c>
    </row>
    <row r="1413" spans="12:13" x14ac:dyDescent="0.25">
      <c r="L1413" s="65">
        <v>352111</v>
      </c>
      <c r="M1413" t="s">
        <v>1258</v>
      </c>
    </row>
    <row r="1414" spans="12:13" x14ac:dyDescent="0.25">
      <c r="L1414" s="65">
        <v>352120</v>
      </c>
      <c r="M1414" t="s">
        <v>1259</v>
      </c>
    </row>
    <row r="1415" spans="12:13" x14ac:dyDescent="0.25">
      <c r="L1415" s="65">
        <v>352121</v>
      </c>
      <c r="M1415" t="s">
        <v>1260</v>
      </c>
    </row>
    <row r="1416" spans="12:13" x14ac:dyDescent="0.25">
      <c r="L1416" s="65">
        <v>352122</v>
      </c>
      <c r="M1416" t="s">
        <v>1261</v>
      </c>
    </row>
    <row r="1417" spans="12:13" x14ac:dyDescent="0.25">
      <c r="L1417" s="65">
        <v>352123</v>
      </c>
      <c r="M1417" t="s">
        <v>1262</v>
      </c>
    </row>
    <row r="1418" spans="12:13" x14ac:dyDescent="0.25">
      <c r="L1418" s="65">
        <v>352130</v>
      </c>
      <c r="M1418" t="s">
        <v>1263</v>
      </c>
    </row>
    <row r="1419" spans="12:13" x14ac:dyDescent="0.25">
      <c r="L1419" s="65">
        <v>352131</v>
      </c>
      <c r="M1419" t="s">
        <v>1263</v>
      </c>
    </row>
    <row r="1420" spans="12:13" x14ac:dyDescent="0.25">
      <c r="L1420" s="65">
        <v>352140</v>
      </c>
      <c r="M1420" t="s">
        <v>1264</v>
      </c>
    </row>
    <row r="1421" spans="12:13" x14ac:dyDescent="0.25">
      <c r="L1421" s="65">
        <v>352141</v>
      </c>
      <c r="M1421" t="s">
        <v>1264</v>
      </c>
    </row>
    <row r="1422" spans="12:13" x14ac:dyDescent="0.25">
      <c r="L1422" s="65">
        <v>352150</v>
      </c>
      <c r="M1422" t="s">
        <v>1265</v>
      </c>
    </row>
    <row r="1423" spans="12:13" x14ac:dyDescent="0.25">
      <c r="L1423" s="65">
        <v>352151</v>
      </c>
      <c r="M1423" t="s">
        <v>1265</v>
      </c>
    </row>
    <row r="1424" spans="12:13" x14ac:dyDescent="0.25">
      <c r="L1424" s="65">
        <v>400000</v>
      </c>
      <c r="M1424" t="s">
        <v>1266</v>
      </c>
    </row>
    <row r="1425" spans="12:13" x14ac:dyDescent="0.25">
      <c r="L1425" s="65">
        <v>410000</v>
      </c>
      <c r="M1425" t="s">
        <v>1267</v>
      </c>
    </row>
    <row r="1426" spans="12:13" x14ac:dyDescent="0.25">
      <c r="L1426" s="65">
        <v>411000</v>
      </c>
      <c r="M1426" t="s">
        <v>1268</v>
      </c>
    </row>
    <row r="1427" spans="12:13" x14ac:dyDescent="0.25">
      <c r="L1427" s="65">
        <v>411100</v>
      </c>
      <c r="M1427" t="s">
        <v>1269</v>
      </c>
    </row>
    <row r="1428" spans="12:13" x14ac:dyDescent="0.25">
      <c r="L1428" s="65">
        <v>411110</v>
      </c>
      <c r="M1428" t="s">
        <v>1269</v>
      </c>
    </row>
    <row r="1429" spans="12:13" x14ac:dyDescent="0.25">
      <c r="L1429" s="65">
        <v>411111</v>
      </c>
      <c r="M1429" t="s">
        <v>1270</v>
      </c>
    </row>
    <row r="1430" spans="12:13" x14ac:dyDescent="0.25">
      <c r="L1430" s="65">
        <v>411112</v>
      </c>
      <c r="M1430" t="s">
        <v>1271</v>
      </c>
    </row>
    <row r="1431" spans="12:13" x14ac:dyDescent="0.25">
      <c r="L1431" s="65">
        <v>411113</v>
      </c>
      <c r="M1431" t="s">
        <v>1272</v>
      </c>
    </row>
    <row r="1432" spans="12:13" x14ac:dyDescent="0.25">
      <c r="L1432" s="65">
        <v>411114</v>
      </c>
      <c r="M1432" t="s">
        <v>1273</v>
      </c>
    </row>
    <row r="1433" spans="12:13" x14ac:dyDescent="0.25">
      <c r="L1433" s="65">
        <v>411115</v>
      </c>
      <c r="M1433" t="s">
        <v>1274</v>
      </c>
    </row>
    <row r="1434" spans="12:13" x14ac:dyDescent="0.25">
      <c r="L1434" s="65">
        <v>411116</v>
      </c>
      <c r="M1434" t="s">
        <v>1275</v>
      </c>
    </row>
    <row r="1435" spans="12:13" x14ac:dyDescent="0.25">
      <c r="L1435" s="65">
        <v>411117</v>
      </c>
      <c r="M1435" t="s">
        <v>1276</v>
      </c>
    </row>
    <row r="1436" spans="12:13" x14ac:dyDescent="0.25">
      <c r="L1436" s="65">
        <v>411118</v>
      </c>
      <c r="M1436" t="s">
        <v>1277</v>
      </c>
    </row>
    <row r="1437" spans="12:13" x14ac:dyDescent="0.25">
      <c r="L1437" s="66">
        <v>411119</v>
      </c>
      <c r="M1437" t="s">
        <v>1278</v>
      </c>
    </row>
    <row r="1438" spans="12:13" x14ac:dyDescent="0.25">
      <c r="L1438" s="65">
        <v>411120</v>
      </c>
      <c r="M1438" t="s">
        <v>1279</v>
      </c>
    </row>
    <row r="1439" spans="12:13" x14ac:dyDescent="0.25">
      <c r="L1439" s="65">
        <v>411121</v>
      </c>
      <c r="M1439" t="s">
        <v>1280</v>
      </c>
    </row>
    <row r="1440" spans="12:13" x14ac:dyDescent="0.25">
      <c r="L1440" s="65">
        <v>411122</v>
      </c>
      <c r="M1440" t="s">
        <v>1281</v>
      </c>
    </row>
    <row r="1441" spans="12:13" x14ac:dyDescent="0.25">
      <c r="L1441" s="65">
        <v>411130</v>
      </c>
      <c r="M1441" t="s">
        <v>1282</v>
      </c>
    </row>
    <row r="1442" spans="12:13" x14ac:dyDescent="0.25">
      <c r="L1442" s="65">
        <v>411131</v>
      </c>
      <c r="M1442" t="s">
        <v>1282</v>
      </c>
    </row>
    <row r="1443" spans="12:13" x14ac:dyDescent="0.25">
      <c r="L1443" s="65">
        <v>411140</v>
      </c>
      <c r="M1443" t="s">
        <v>1283</v>
      </c>
    </row>
    <row r="1444" spans="12:13" x14ac:dyDescent="0.25">
      <c r="L1444" s="65">
        <v>411141</v>
      </c>
      <c r="M1444" t="s">
        <v>1283</v>
      </c>
    </row>
    <row r="1445" spans="12:13" x14ac:dyDescent="0.25">
      <c r="L1445" s="65">
        <v>411150</v>
      </c>
      <c r="M1445" t="s">
        <v>1284</v>
      </c>
    </row>
    <row r="1446" spans="12:13" x14ac:dyDescent="0.25">
      <c r="L1446" s="65">
        <v>411151</v>
      </c>
      <c r="M1446" t="s">
        <v>1285</v>
      </c>
    </row>
    <row r="1447" spans="12:13" x14ac:dyDescent="0.25">
      <c r="L1447" s="65">
        <v>411159</v>
      </c>
      <c r="M1447" t="s">
        <v>1286</v>
      </c>
    </row>
    <row r="1448" spans="12:13" x14ac:dyDescent="0.25">
      <c r="L1448" s="65">
        <v>411190</v>
      </c>
      <c r="M1448" t="s">
        <v>1287</v>
      </c>
    </row>
    <row r="1449" spans="12:13" x14ac:dyDescent="0.25">
      <c r="L1449" s="65">
        <v>411191</v>
      </c>
      <c r="M1449" t="s">
        <v>1287</v>
      </c>
    </row>
    <row r="1450" spans="12:13" x14ac:dyDescent="0.25">
      <c r="L1450" s="65">
        <v>412000</v>
      </c>
      <c r="M1450" t="s">
        <v>1288</v>
      </c>
    </row>
    <row r="1451" spans="12:13" x14ac:dyDescent="0.25">
      <c r="L1451" s="65">
        <v>412100</v>
      </c>
      <c r="M1451" t="s">
        <v>1289</v>
      </c>
    </row>
    <row r="1452" spans="12:13" x14ac:dyDescent="0.25">
      <c r="L1452" s="65">
        <v>412110</v>
      </c>
      <c r="M1452" t="s">
        <v>1289</v>
      </c>
    </row>
    <row r="1453" spans="12:13" x14ac:dyDescent="0.25">
      <c r="L1453" s="65">
        <v>412111</v>
      </c>
      <c r="M1453" t="s">
        <v>1289</v>
      </c>
    </row>
    <row r="1454" spans="12:13" x14ac:dyDescent="0.25">
      <c r="L1454" s="65">
        <v>412112</v>
      </c>
      <c r="M1454" t="s">
        <v>1290</v>
      </c>
    </row>
    <row r="1455" spans="12:13" x14ac:dyDescent="0.25">
      <c r="L1455" s="65">
        <v>412113</v>
      </c>
      <c r="M1455" t="s">
        <v>1291</v>
      </c>
    </row>
    <row r="1456" spans="12:13" x14ac:dyDescent="0.25">
      <c r="L1456" s="65">
        <v>412200</v>
      </c>
      <c r="M1456" t="s">
        <v>1292</v>
      </c>
    </row>
    <row r="1457" spans="12:13" x14ac:dyDescent="0.25">
      <c r="L1457" s="65">
        <v>412210</v>
      </c>
      <c r="M1457" t="s">
        <v>1292</v>
      </c>
    </row>
    <row r="1458" spans="12:13" x14ac:dyDescent="0.25">
      <c r="L1458" s="65">
        <v>412211</v>
      </c>
      <c r="M1458" t="s">
        <v>1292</v>
      </c>
    </row>
    <row r="1459" spans="12:13" x14ac:dyDescent="0.25">
      <c r="L1459" s="65">
        <v>412221</v>
      </c>
      <c r="M1459" t="s">
        <v>1293</v>
      </c>
    </row>
    <row r="1460" spans="12:13" x14ac:dyDescent="0.25">
      <c r="L1460" s="65">
        <v>412300</v>
      </c>
      <c r="M1460" t="s">
        <v>1294</v>
      </c>
    </row>
    <row r="1461" spans="12:13" x14ac:dyDescent="0.25">
      <c r="L1461" s="65">
        <v>412310</v>
      </c>
      <c r="M1461" t="s">
        <v>1294</v>
      </c>
    </row>
    <row r="1462" spans="12:13" x14ac:dyDescent="0.25">
      <c r="L1462" s="65">
        <v>412311</v>
      </c>
      <c r="M1462" t="s">
        <v>1294</v>
      </c>
    </row>
    <row r="1463" spans="12:13" x14ac:dyDescent="0.25">
      <c r="L1463" s="65">
        <v>413000</v>
      </c>
      <c r="M1463" t="s">
        <v>1295</v>
      </c>
    </row>
    <row r="1464" spans="12:13" x14ac:dyDescent="0.25">
      <c r="L1464" s="65">
        <v>413100</v>
      </c>
      <c r="M1464" t="s">
        <v>1295</v>
      </c>
    </row>
    <row r="1465" spans="12:13" x14ac:dyDescent="0.25">
      <c r="L1465" s="65">
        <v>413110</v>
      </c>
      <c r="M1465" t="s">
        <v>1295</v>
      </c>
    </row>
    <row r="1466" spans="12:13" x14ac:dyDescent="0.25">
      <c r="L1466" s="65">
        <v>413111</v>
      </c>
      <c r="M1466" t="s">
        <v>1296</v>
      </c>
    </row>
    <row r="1467" spans="12:13" x14ac:dyDescent="0.25">
      <c r="L1467" s="65">
        <v>413112</v>
      </c>
      <c r="M1467" t="s">
        <v>1297</v>
      </c>
    </row>
    <row r="1468" spans="12:13" x14ac:dyDescent="0.25">
      <c r="L1468" s="65">
        <v>413119</v>
      </c>
      <c r="M1468" t="s">
        <v>1298</v>
      </c>
    </row>
    <row r="1469" spans="12:13" x14ac:dyDescent="0.25">
      <c r="L1469" s="65">
        <v>413120</v>
      </c>
      <c r="M1469" t="s">
        <v>1299</v>
      </c>
    </row>
    <row r="1470" spans="12:13" x14ac:dyDescent="0.25">
      <c r="L1470" s="65">
        <v>413121</v>
      </c>
      <c r="M1470" t="s">
        <v>1299</v>
      </c>
    </row>
    <row r="1471" spans="12:13" x14ac:dyDescent="0.25">
      <c r="L1471" s="65">
        <v>413130</v>
      </c>
      <c r="M1471" t="s">
        <v>1300</v>
      </c>
    </row>
    <row r="1472" spans="12:13" x14ac:dyDescent="0.25">
      <c r="L1472" s="65">
        <v>413131</v>
      </c>
      <c r="M1472" t="s">
        <v>1301</v>
      </c>
    </row>
    <row r="1473" spans="12:13" x14ac:dyDescent="0.25">
      <c r="L1473" s="65">
        <v>413139</v>
      </c>
      <c r="M1473" t="s">
        <v>1302</v>
      </c>
    </row>
    <row r="1474" spans="12:13" x14ac:dyDescent="0.25">
      <c r="L1474" s="65">
        <v>413140</v>
      </c>
      <c r="M1474" t="s">
        <v>1303</v>
      </c>
    </row>
    <row r="1475" spans="12:13" x14ac:dyDescent="0.25">
      <c r="L1475" s="65">
        <v>413141</v>
      </c>
      <c r="M1475" t="s">
        <v>1304</v>
      </c>
    </row>
    <row r="1476" spans="12:13" x14ac:dyDescent="0.25">
      <c r="L1476" s="65">
        <v>413142</v>
      </c>
      <c r="M1476" t="s">
        <v>1305</v>
      </c>
    </row>
    <row r="1477" spans="12:13" x14ac:dyDescent="0.25">
      <c r="L1477" s="65">
        <v>413150</v>
      </c>
      <c r="M1477" t="s">
        <v>1306</v>
      </c>
    </row>
    <row r="1478" spans="12:13" x14ac:dyDescent="0.25">
      <c r="L1478" s="65">
        <v>413151</v>
      </c>
      <c r="M1478" t="s">
        <v>1306</v>
      </c>
    </row>
    <row r="1479" spans="12:13" x14ac:dyDescent="0.25">
      <c r="L1479" s="65">
        <v>413160</v>
      </c>
      <c r="M1479" t="s">
        <v>1307</v>
      </c>
    </row>
    <row r="1480" spans="12:13" x14ac:dyDescent="0.25">
      <c r="L1480" s="65">
        <v>413161</v>
      </c>
      <c r="M1480" t="s">
        <v>1307</v>
      </c>
    </row>
    <row r="1481" spans="12:13" x14ac:dyDescent="0.25">
      <c r="L1481" s="65">
        <v>413170</v>
      </c>
      <c r="M1481" t="s">
        <v>1308</v>
      </c>
    </row>
    <row r="1482" spans="12:13" x14ac:dyDescent="0.25">
      <c r="L1482" s="65">
        <v>413171</v>
      </c>
      <c r="M1482" t="s">
        <v>1308</v>
      </c>
    </row>
    <row r="1483" spans="12:13" x14ac:dyDescent="0.25">
      <c r="L1483" s="65">
        <v>413180</v>
      </c>
      <c r="M1483" t="s">
        <v>1309</v>
      </c>
    </row>
    <row r="1484" spans="12:13" x14ac:dyDescent="0.25">
      <c r="L1484" s="65">
        <v>413181</v>
      </c>
      <c r="M1484" t="s">
        <v>1309</v>
      </c>
    </row>
    <row r="1485" spans="12:13" x14ac:dyDescent="0.25">
      <c r="L1485" s="65">
        <v>414000</v>
      </c>
      <c r="M1485" t="s">
        <v>1310</v>
      </c>
    </row>
    <row r="1486" spans="12:13" x14ac:dyDescent="0.25">
      <c r="L1486" s="65">
        <v>414100</v>
      </c>
      <c r="M1486" t="s">
        <v>1311</v>
      </c>
    </row>
    <row r="1487" spans="12:13" x14ac:dyDescent="0.25">
      <c r="L1487" s="65">
        <v>414110</v>
      </c>
      <c r="M1487" t="s">
        <v>1312</v>
      </c>
    </row>
    <row r="1488" spans="12:13" x14ac:dyDescent="0.25">
      <c r="L1488" s="65">
        <v>414111</v>
      </c>
      <c r="M1488" t="s">
        <v>1312</v>
      </c>
    </row>
    <row r="1489" spans="12:13" x14ac:dyDescent="0.25">
      <c r="L1489" s="65">
        <v>414120</v>
      </c>
      <c r="M1489" t="s">
        <v>1313</v>
      </c>
    </row>
    <row r="1490" spans="12:13" x14ac:dyDescent="0.25">
      <c r="L1490" s="65">
        <v>414121</v>
      </c>
      <c r="M1490" t="s">
        <v>1313</v>
      </c>
    </row>
    <row r="1491" spans="12:13" x14ac:dyDescent="0.25">
      <c r="L1491" s="65">
        <v>414130</v>
      </c>
      <c r="M1491" t="s">
        <v>1314</v>
      </c>
    </row>
    <row r="1492" spans="12:13" x14ac:dyDescent="0.25">
      <c r="L1492" s="65">
        <v>414131</v>
      </c>
      <c r="M1492" t="s">
        <v>1314</v>
      </c>
    </row>
    <row r="1493" spans="12:13" x14ac:dyDescent="0.25">
      <c r="L1493" s="65">
        <v>414200</v>
      </c>
      <c r="M1493" t="s">
        <v>1315</v>
      </c>
    </row>
    <row r="1494" spans="12:13" x14ac:dyDescent="0.25">
      <c r="L1494" s="65">
        <v>414210</v>
      </c>
      <c r="M1494" t="s">
        <v>1315</v>
      </c>
    </row>
    <row r="1495" spans="12:13" x14ac:dyDescent="0.25">
      <c r="L1495" s="65">
        <v>414211</v>
      </c>
      <c r="M1495" t="s">
        <v>1315</v>
      </c>
    </row>
    <row r="1496" spans="12:13" x14ac:dyDescent="0.25">
      <c r="L1496" s="65">
        <v>414300</v>
      </c>
      <c r="M1496" t="s">
        <v>1316</v>
      </c>
    </row>
    <row r="1497" spans="12:13" x14ac:dyDescent="0.25">
      <c r="L1497" s="65">
        <v>414310</v>
      </c>
      <c r="M1497" t="s">
        <v>1316</v>
      </c>
    </row>
    <row r="1498" spans="12:13" x14ac:dyDescent="0.25">
      <c r="L1498" s="65">
        <v>414311</v>
      </c>
      <c r="M1498" t="s">
        <v>1317</v>
      </c>
    </row>
    <row r="1499" spans="12:13" x14ac:dyDescent="0.25">
      <c r="L1499" s="65">
        <v>414312</v>
      </c>
      <c r="M1499" t="s">
        <v>1318</v>
      </c>
    </row>
    <row r="1500" spans="12:13" x14ac:dyDescent="0.25">
      <c r="L1500" s="65">
        <v>414314</v>
      </c>
      <c r="M1500" t="s">
        <v>1319</v>
      </c>
    </row>
    <row r="1501" spans="12:13" x14ac:dyDescent="0.25">
      <c r="L1501" s="65">
        <v>414400</v>
      </c>
      <c r="M1501" t="s">
        <v>1320</v>
      </c>
    </row>
    <row r="1502" spans="12:13" x14ac:dyDescent="0.25">
      <c r="L1502" s="65">
        <v>414410</v>
      </c>
      <c r="M1502" t="s">
        <v>1320</v>
      </c>
    </row>
    <row r="1503" spans="12:13" x14ac:dyDescent="0.25">
      <c r="L1503" s="65">
        <v>414411</v>
      </c>
      <c r="M1503" t="s">
        <v>1321</v>
      </c>
    </row>
    <row r="1504" spans="12:13" x14ac:dyDescent="0.25">
      <c r="L1504" s="65">
        <v>414412</v>
      </c>
      <c r="M1504" t="s">
        <v>1322</v>
      </c>
    </row>
    <row r="1505" spans="12:13" x14ac:dyDescent="0.25">
      <c r="L1505" s="65">
        <v>414419</v>
      </c>
      <c r="M1505" t="s">
        <v>1323</v>
      </c>
    </row>
    <row r="1506" spans="12:13" x14ac:dyDescent="0.25">
      <c r="L1506" s="65">
        <v>415000</v>
      </c>
      <c r="M1506" t="s">
        <v>1324</v>
      </c>
    </row>
    <row r="1507" spans="12:13" x14ac:dyDescent="0.25">
      <c r="L1507" s="65">
        <v>415100</v>
      </c>
      <c r="M1507" t="s">
        <v>1324</v>
      </c>
    </row>
    <row r="1508" spans="12:13" x14ac:dyDescent="0.25">
      <c r="L1508" s="65">
        <v>415110</v>
      </c>
      <c r="M1508" t="s">
        <v>1324</v>
      </c>
    </row>
    <row r="1509" spans="12:13" x14ac:dyDescent="0.25">
      <c r="L1509" s="65">
        <v>415111</v>
      </c>
      <c r="M1509" t="s">
        <v>1325</v>
      </c>
    </row>
    <row r="1510" spans="12:13" x14ac:dyDescent="0.25">
      <c r="L1510" s="65">
        <v>415112</v>
      </c>
      <c r="M1510" t="s">
        <v>1326</v>
      </c>
    </row>
    <row r="1511" spans="12:13" x14ac:dyDescent="0.25">
      <c r="L1511" s="65">
        <v>415113</v>
      </c>
      <c r="M1511" t="s">
        <v>1327</v>
      </c>
    </row>
    <row r="1512" spans="12:13" x14ac:dyDescent="0.25">
      <c r="L1512" s="65">
        <v>415114</v>
      </c>
      <c r="M1512" t="s">
        <v>1328</v>
      </c>
    </row>
    <row r="1513" spans="12:13" x14ac:dyDescent="0.25">
      <c r="L1513" s="65">
        <v>415119</v>
      </c>
      <c r="M1513" t="s">
        <v>1329</v>
      </c>
    </row>
    <row r="1514" spans="12:13" x14ac:dyDescent="0.25">
      <c r="L1514" s="65">
        <v>416000</v>
      </c>
      <c r="M1514" t="s">
        <v>1330</v>
      </c>
    </row>
    <row r="1515" spans="12:13" x14ac:dyDescent="0.25">
      <c r="L1515" s="65">
        <v>416100</v>
      </c>
      <c r="M1515" t="s">
        <v>1330</v>
      </c>
    </row>
    <row r="1516" spans="12:13" x14ac:dyDescent="0.25">
      <c r="L1516" s="65">
        <v>416110</v>
      </c>
      <c r="M1516" t="s">
        <v>1331</v>
      </c>
    </row>
    <row r="1517" spans="12:13" x14ac:dyDescent="0.25">
      <c r="L1517" s="65">
        <v>416111</v>
      </c>
      <c r="M1517" t="s">
        <v>1332</v>
      </c>
    </row>
    <row r="1518" spans="12:13" x14ac:dyDescent="0.25">
      <c r="L1518" s="65">
        <v>416112</v>
      </c>
      <c r="M1518" t="s">
        <v>1333</v>
      </c>
    </row>
    <row r="1519" spans="12:13" x14ac:dyDescent="0.25">
      <c r="L1519" s="65">
        <v>416119</v>
      </c>
      <c r="M1519" t="s">
        <v>1334</v>
      </c>
    </row>
    <row r="1520" spans="12:13" x14ac:dyDescent="0.25">
      <c r="L1520" s="65">
        <v>416120</v>
      </c>
      <c r="M1520" t="s">
        <v>1335</v>
      </c>
    </row>
    <row r="1521" spans="12:13" x14ac:dyDescent="0.25">
      <c r="L1521" s="65">
        <v>416121</v>
      </c>
      <c r="M1521" t="s">
        <v>1336</v>
      </c>
    </row>
    <row r="1522" spans="12:13" x14ac:dyDescent="0.25">
      <c r="L1522" s="65">
        <v>416130</v>
      </c>
      <c r="M1522" t="s">
        <v>1337</v>
      </c>
    </row>
    <row r="1523" spans="12:13" x14ac:dyDescent="0.25">
      <c r="L1523" s="65">
        <v>416131</v>
      </c>
      <c r="M1523" t="s">
        <v>1338</v>
      </c>
    </row>
    <row r="1524" spans="12:13" x14ac:dyDescent="0.25">
      <c r="L1524" s="65">
        <v>416132</v>
      </c>
      <c r="M1524" t="s">
        <v>1339</v>
      </c>
    </row>
    <row r="1525" spans="12:13" x14ac:dyDescent="0.25">
      <c r="L1525" s="65">
        <v>417000</v>
      </c>
      <c r="M1525" t="s">
        <v>1340</v>
      </c>
    </row>
    <row r="1526" spans="12:13" x14ac:dyDescent="0.25">
      <c r="L1526" s="65">
        <v>417100</v>
      </c>
      <c r="M1526" t="s">
        <v>1340</v>
      </c>
    </row>
    <row r="1527" spans="12:13" x14ac:dyDescent="0.25">
      <c r="L1527" s="65">
        <v>417110</v>
      </c>
      <c r="M1527" t="s">
        <v>1340</v>
      </c>
    </row>
    <row r="1528" spans="12:13" x14ac:dyDescent="0.25">
      <c r="L1528" s="65">
        <v>417111</v>
      </c>
      <c r="M1528" t="s">
        <v>1340</v>
      </c>
    </row>
    <row r="1529" spans="12:13" x14ac:dyDescent="0.25">
      <c r="L1529" s="65">
        <v>418000</v>
      </c>
      <c r="M1529" t="s">
        <v>1341</v>
      </c>
    </row>
    <row r="1530" spans="12:13" x14ac:dyDescent="0.25">
      <c r="L1530" s="65">
        <v>418100</v>
      </c>
      <c r="M1530" t="s">
        <v>1341</v>
      </c>
    </row>
    <row r="1531" spans="12:13" x14ac:dyDescent="0.25">
      <c r="L1531" s="65">
        <v>418110</v>
      </c>
      <c r="M1531" t="s">
        <v>1341</v>
      </c>
    </row>
    <row r="1532" spans="12:13" x14ac:dyDescent="0.25">
      <c r="L1532" s="65">
        <v>418111</v>
      </c>
      <c r="M1532" t="s">
        <v>1341</v>
      </c>
    </row>
    <row r="1533" spans="12:13" x14ac:dyDescent="0.25">
      <c r="L1533" s="65">
        <v>420000</v>
      </c>
      <c r="M1533" t="s">
        <v>1342</v>
      </c>
    </row>
    <row r="1534" spans="12:13" x14ac:dyDescent="0.25">
      <c r="L1534" s="65">
        <v>421000</v>
      </c>
      <c r="M1534" t="s">
        <v>1343</v>
      </c>
    </row>
    <row r="1535" spans="12:13" x14ac:dyDescent="0.25">
      <c r="L1535" s="65">
        <v>421100</v>
      </c>
      <c r="M1535" t="s">
        <v>1344</v>
      </c>
    </row>
    <row r="1536" spans="12:13" x14ac:dyDescent="0.25">
      <c r="L1536" s="65">
        <v>421110</v>
      </c>
      <c r="M1536" t="s">
        <v>1345</v>
      </c>
    </row>
    <row r="1537" spans="12:13" x14ac:dyDescent="0.25">
      <c r="L1537" s="65">
        <v>421111</v>
      </c>
      <c r="M1537" t="s">
        <v>1345</v>
      </c>
    </row>
    <row r="1538" spans="12:13" x14ac:dyDescent="0.25">
      <c r="L1538" s="65">
        <v>421120</v>
      </c>
      <c r="M1538" t="s">
        <v>1346</v>
      </c>
    </row>
    <row r="1539" spans="12:13" x14ac:dyDescent="0.25">
      <c r="L1539" s="65">
        <v>421121</v>
      </c>
      <c r="M1539" t="s">
        <v>1346</v>
      </c>
    </row>
    <row r="1540" spans="12:13" x14ac:dyDescent="0.25">
      <c r="L1540" s="65">
        <v>421200</v>
      </c>
      <c r="M1540" t="s">
        <v>1347</v>
      </c>
    </row>
    <row r="1541" spans="12:13" x14ac:dyDescent="0.25">
      <c r="L1541" s="65">
        <v>421210</v>
      </c>
      <c r="M1541" t="s">
        <v>1348</v>
      </c>
    </row>
    <row r="1542" spans="12:13" x14ac:dyDescent="0.25">
      <c r="L1542" s="65">
        <v>421211</v>
      </c>
      <c r="M1542" t="s">
        <v>1348</v>
      </c>
    </row>
    <row r="1543" spans="12:13" x14ac:dyDescent="0.25">
      <c r="L1543" s="65">
        <v>421220</v>
      </c>
      <c r="M1543" t="s">
        <v>1349</v>
      </c>
    </row>
    <row r="1544" spans="12:13" x14ac:dyDescent="0.25">
      <c r="L1544" s="65">
        <v>421221</v>
      </c>
      <c r="M1544" t="s">
        <v>1350</v>
      </c>
    </row>
    <row r="1545" spans="12:13" x14ac:dyDescent="0.25">
      <c r="L1545" s="65">
        <v>421222</v>
      </c>
      <c r="M1545" t="s">
        <v>1351</v>
      </c>
    </row>
    <row r="1546" spans="12:13" x14ac:dyDescent="0.25">
      <c r="L1546" s="65">
        <v>421223</v>
      </c>
      <c r="M1546" t="s">
        <v>1352</v>
      </c>
    </row>
    <row r="1547" spans="12:13" x14ac:dyDescent="0.25">
      <c r="L1547" s="65">
        <v>421224</v>
      </c>
      <c r="M1547" t="s">
        <v>1353</v>
      </c>
    </row>
    <row r="1548" spans="12:13" x14ac:dyDescent="0.25">
      <c r="L1548" s="65">
        <v>421225</v>
      </c>
      <c r="M1548" t="s">
        <v>1354</v>
      </c>
    </row>
    <row r="1549" spans="12:13" x14ac:dyDescent="0.25">
      <c r="L1549" s="65">
        <v>421300</v>
      </c>
      <c r="M1549" t="s">
        <v>1355</v>
      </c>
    </row>
    <row r="1550" spans="12:13" x14ac:dyDescent="0.25">
      <c r="L1550" s="65">
        <v>421310</v>
      </c>
      <c r="M1550" t="s">
        <v>1356</v>
      </c>
    </row>
    <row r="1551" spans="12:13" x14ac:dyDescent="0.25">
      <c r="L1551" s="65">
        <v>421311</v>
      </c>
      <c r="M1551" t="s">
        <v>1356</v>
      </c>
    </row>
    <row r="1552" spans="12:13" x14ac:dyDescent="0.25">
      <c r="L1552" s="65">
        <v>421320</v>
      </c>
      <c r="M1552" t="s">
        <v>1357</v>
      </c>
    </row>
    <row r="1553" spans="12:13" x14ac:dyDescent="0.25">
      <c r="L1553" s="65">
        <v>421321</v>
      </c>
      <c r="M1553" t="s">
        <v>1358</v>
      </c>
    </row>
    <row r="1554" spans="12:13" x14ac:dyDescent="0.25">
      <c r="L1554" s="65">
        <v>421322</v>
      </c>
      <c r="M1554" t="s">
        <v>1359</v>
      </c>
    </row>
    <row r="1555" spans="12:13" x14ac:dyDescent="0.25">
      <c r="L1555" s="65">
        <v>421323</v>
      </c>
      <c r="M1555" t="s">
        <v>1360</v>
      </c>
    </row>
    <row r="1556" spans="12:13" x14ac:dyDescent="0.25">
      <c r="L1556" s="65">
        <v>421324</v>
      </c>
      <c r="M1556" t="s">
        <v>1361</v>
      </c>
    </row>
    <row r="1557" spans="12:13" x14ac:dyDescent="0.25">
      <c r="L1557" s="65">
        <v>421325</v>
      </c>
      <c r="M1557" t="s">
        <v>1362</v>
      </c>
    </row>
    <row r="1558" spans="12:13" x14ac:dyDescent="0.25">
      <c r="L1558" s="65">
        <v>421390</v>
      </c>
      <c r="M1558" t="s">
        <v>1363</v>
      </c>
    </row>
    <row r="1559" spans="12:13" x14ac:dyDescent="0.25">
      <c r="L1559" s="65">
        <v>421391</v>
      </c>
      <c r="M1559" t="s">
        <v>1364</v>
      </c>
    </row>
    <row r="1560" spans="12:13" x14ac:dyDescent="0.25">
      <c r="L1560" s="65">
        <v>421392</v>
      </c>
      <c r="M1560" t="s">
        <v>1365</v>
      </c>
    </row>
    <row r="1561" spans="12:13" x14ac:dyDescent="0.25">
      <c r="L1561" s="65">
        <v>421400</v>
      </c>
      <c r="M1561" t="s">
        <v>1366</v>
      </c>
    </row>
    <row r="1562" spans="12:13" x14ac:dyDescent="0.25">
      <c r="L1562" s="65">
        <v>421410</v>
      </c>
      <c r="M1562" t="s">
        <v>1367</v>
      </c>
    </row>
    <row r="1563" spans="12:13" x14ac:dyDescent="0.25">
      <c r="L1563" s="65">
        <v>421411</v>
      </c>
      <c r="M1563" t="s">
        <v>1368</v>
      </c>
    </row>
    <row r="1564" spans="12:13" x14ac:dyDescent="0.25">
      <c r="L1564" s="65">
        <v>421412</v>
      </c>
      <c r="M1564" t="s">
        <v>1369</v>
      </c>
    </row>
    <row r="1565" spans="12:13" x14ac:dyDescent="0.25">
      <c r="L1565" s="65">
        <v>421413</v>
      </c>
      <c r="M1565" t="s">
        <v>1370</v>
      </c>
    </row>
    <row r="1566" spans="12:13" x14ac:dyDescent="0.25">
      <c r="L1566" s="65">
        <v>421414</v>
      </c>
      <c r="M1566" t="s">
        <v>1371</v>
      </c>
    </row>
    <row r="1567" spans="12:13" x14ac:dyDescent="0.25">
      <c r="L1567" s="65">
        <v>421419</v>
      </c>
      <c r="M1567" t="s">
        <v>1372</v>
      </c>
    </row>
    <row r="1568" spans="12:13" x14ac:dyDescent="0.25">
      <c r="L1568" s="65">
        <v>421420</v>
      </c>
      <c r="M1568" t="s">
        <v>1373</v>
      </c>
    </row>
    <row r="1569" spans="12:13" x14ac:dyDescent="0.25">
      <c r="L1569" s="65">
        <v>421421</v>
      </c>
      <c r="M1569" t="s">
        <v>1374</v>
      </c>
    </row>
    <row r="1570" spans="12:13" x14ac:dyDescent="0.25">
      <c r="L1570" s="65">
        <v>421422</v>
      </c>
      <c r="M1570" t="s">
        <v>1375</v>
      </c>
    </row>
    <row r="1571" spans="12:13" x14ac:dyDescent="0.25">
      <c r="L1571" s="65">
        <v>421429</v>
      </c>
      <c r="M1571" t="s">
        <v>1376</v>
      </c>
    </row>
    <row r="1572" spans="12:13" x14ac:dyDescent="0.25">
      <c r="L1572" s="65">
        <v>421500</v>
      </c>
      <c r="M1572" t="s">
        <v>1377</v>
      </c>
    </row>
    <row r="1573" spans="12:13" x14ac:dyDescent="0.25">
      <c r="L1573" s="65">
        <v>421510</v>
      </c>
      <c r="M1573" t="s">
        <v>1378</v>
      </c>
    </row>
    <row r="1574" spans="12:13" x14ac:dyDescent="0.25">
      <c r="L1574" s="65">
        <v>421511</v>
      </c>
      <c r="M1574" t="s">
        <v>1379</v>
      </c>
    </row>
    <row r="1575" spans="12:13" x14ac:dyDescent="0.25">
      <c r="L1575" s="65">
        <v>421512</v>
      </c>
      <c r="M1575" t="s">
        <v>1380</v>
      </c>
    </row>
    <row r="1576" spans="12:13" x14ac:dyDescent="0.25">
      <c r="L1576" s="65">
        <v>421513</v>
      </c>
      <c r="M1576" t="s">
        <v>1381</v>
      </c>
    </row>
    <row r="1577" spans="12:13" x14ac:dyDescent="0.25">
      <c r="L1577" s="65">
        <v>421519</v>
      </c>
      <c r="M1577" t="s">
        <v>1382</v>
      </c>
    </row>
    <row r="1578" spans="12:13" x14ac:dyDescent="0.25">
      <c r="L1578" s="65">
        <v>421520</v>
      </c>
      <c r="M1578" t="s">
        <v>1383</v>
      </c>
    </row>
    <row r="1579" spans="12:13" x14ac:dyDescent="0.25">
      <c r="L1579" s="65">
        <v>421521</v>
      </c>
      <c r="M1579" t="s">
        <v>1384</v>
      </c>
    </row>
    <row r="1580" spans="12:13" x14ac:dyDescent="0.25">
      <c r="L1580" s="65">
        <v>421522</v>
      </c>
      <c r="M1580" t="s">
        <v>1385</v>
      </c>
    </row>
    <row r="1581" spans="12:13" x14ac:dyDescent="0.25">
      <c r="L1581" s="65">
        <v>421523</v>
      </c>
      <c r="M1581" t="s">
        <v>1386</v>
      </c>
    </row>
    <row r="1582" spans="12:13" x14ac:dyDescent="0.25">
      <c r="L1582" s="65">
        <v>421600</v>
      </c>
      <c r="M1582" t="s">
        <v>1387</v>
      </c>
    </row>
    <row r="1583" spans="12:13" x14ac:dyDescent="0.25">
      <c r="L1583" s="65">
        <v>421610</v>
      </c>
      <c r="M1583" t="s">
        <v>1388</v>
      </c>
    </row>
    <row r="1584" spans="12:13" x14ac:dyDescent="0.25">
      <c r="L1584" s="65">
        <v>421611</v>
      </c>
      <c r="M1584" t="s">
        <v>1389</v>
      </c>
    </row>
    <row r="1585" spans="12:13" x14ac:dyDescent="0.25">
      <c r="L1585" s="65">
        <v>421612</v>
      </c>
      <c r="M1585" t="s">
        <v>1390</v>
      </c>
    </row>
    <row r="1586" spans="12:13" x14ac:dyDescent="0.25">
      <c r="L1586" s="65">
        <v>421619</v>
      </c>
      <c r="M1586" t="s">
        <v>1391</v>
      </c>
    </row>
    <row r="1587" spans="12:13" x14ac:dyDescent="0.25">
      <c r="L1587" s="65">
        <v>421620</v>
      </c>
      <c r="M1587" t="s">
        <v>1392</v>
      </c>
    </row>
    <row r="1588" spans="12:13" x14ac:dyDescent="0.25">
      <c r="L1588" s="65">
        <v>421621</v>
      </c>
      <c r="M1588" t="s">
        <v>1393</v>
      </c>
    </row>
    <row r="1589" spans="12:13" x14ac:dyDescent="0.25">
      <c r="L1589" s="65">
        <v>421622</v>
      </c>
      <c r="M1589" t="s">
        <v>1394</v>
      </c>
    </row>
    <row r="1590" spans="12:13" x14ac:dyDescent="0.25">
      <c r="L1590" s="65">
        <v>421623</v>
      </c>
      <c r="M1590" t="s">
        <v>1395</v>
      </c>
    </row>
    <row r="1591" spans="12:13" x14ac:dyDescent="0.25">
      <c r="L1591" s="65">
        <v>421624</v>
      </c>
      <c r="M1591" t="s">
        <v>1396</v>
      </c>
    </row>
    <row r="1592" spans="12:13" x14ac:dyDescent="0.25">
      <c r="L1592" s="65">
        <v>421625</v>
      </c>
      <c r="M1592" t="s">
        <v>1397</v>
      </c>
    </row>
    <row r="1593" spans="12:13" x14ac:dyDescent="0.25">
      <c r="L1593" s="65">
        <v>421626</v>
      </c>
      <c r="M1593" t="s">
        <v>1398</v>
      </c>
    </row>
    <row r="1594" spans="12:13" x14ac:dyDescent="0.25">
      <c r="L1594" s="65">
        <v>421627</v>
      </c>
      <c r="M1594" t="s">
        <v>1399</v>
      </c>
    </row>
    <row r="1595" spans="12:13" x14ac:dyDescent="0.25">
      <c r="L1595" s="65">
        <v>421628</v>
      </c>
      <c r="M1595" t="s">
        <v>1400</v>
      </c>
    </row>
    <row r="1596" spans="12:13" x14ac:dyDescent="0.25">
      <c r="L1596" s="65">
        <v>421629</v>
      </c>
      <c r="M1596" t="s">
        <v>1401</v>
      </c>
    </row>
    <row r="1597" spans="12:13" x14ac:dyDescent="0.25">
      <c r="L1597" s="65">
        <v>421900</v>
      </c>
      <c r="M1597" t="s">
        <v>1402</v>
      </c>
    </row>
    <row r="1598" spans="12:13" x14ac:dyDescent="0.25">
      <c r="L1598" s="65">
        <v>421910</v>
      </c>
      <c r="M1598" t="s">
        <v>1402</v>
      </c>
    </row>
    <row r="1599" spans="12:13" x14ac:dyDescent="0.25">
      <c r="L1599" s="65">
        <v>421911</v>
      </c>
      <c r="M1599" t="s">
        <v>1403</v>
      </c>
    </row>
    <row r="1600" spans="12:13" x14ac:dyDescent="0.25">
      <c r="L1600" s="65">
        <v>421919</v>
      </c>
      <c r="M1600" t="s">
        <v>1404</v>
      </c>
    </row>
    <row r="1601" spans="12:13" x14ac:dyDescent="0.25">
      <c r="L1601" s="65">
        <v>422000</v>
      </c>
      <c r="M1601" t="s">
        <v>1405</v>
      </c>
    </row>
    <row r="1602" spans="12:13" x14ac:dyDescent="0.25">
      <c r="L1602" s="65">
        <v>422100</v>
      </c>
      <c r="M1602" t="s">
        <v>1406</v>
      </c>
    </row>
    <row r="1603" spans="12:13" x14ac:dyDescent="0.25">
      <c r="L1603" s="65">
        <v>422110</v>
      </c>
      <c r="M1603" t="s">
        <v>1407</v>
      </c>
    </row>
    <row r="1604" spans="12:13" x14ac:dyDescent="0.25">
      <c r="L1604" s="65">
        <v>422111</v>
      </c>
      <c r="M1604" t="s">
        <v>1407</v>
      </c>
    </row>
    <row r="1605" spans="12:13" x14ac:dyDescent="0.25">
      <c r="L1605" s="65">
        <v>422120</v>
      </c>
      <c r="M1605" t="s">
        <v>1408</v>
      </c>
    </row>
    <row r="1606" spans="12:13" x14ac:dyDescent="0.25">
      <c r="L1606" s="65">
        <v>422121</v>
      </c>
      <c r="M1606" t="s">
        <v>1408</v>
      </c>
    </row>
    <row r="1607" spans="12:13" x14ac:dyDescent="0.25">
      <c r="L1607" s="65">
        <v>422130</v>
      </c>
      <c r="M1607" t="s">
        <v>1409</v>
      </c>
    </row>
    <row r="1608" spans="12:13" x14ac:dyDescent="0.25">
      <c r="L1608" s="65">
        <v>422131</v>
      </c>
      <c r="M1608" t="s">
        <v>1409</v>
      </c>
    </row>
    <row r="1609" spans="12:13" x14ac:dyDescent="0.25">
      <c r="L1609" s="65">
        <v>422190</v>
      </c>
      <c r="M1609" t="s">
        <v>1410</v>
      </c>
    </row>
    <row r="1610" spans="12:13" x14ac:dyDescent="0.25">
      <c r="L1610" s="65">
        <v>422191</v>
      </c>
      <c r="M1610" t="s">
        <v>1411</v>
      </c>
    </row>
    <row r="1611" spans="12:13" x14ac:dyDescent="0.25">
      <c r="L1611" s="65">
        <v>422192</v>
      </c>
      <c r="M1611" t="s">
        <v>1412</v>
      </c>
    </row>
    <row r="1612" spans="12:13" x14ac:dyDescent="0.25">
      <c r="L1612" s="65">
        <v>422193</v>
      </c>
      <c r="M1612" t="s">
        <v>1413</v>
      </c>
    </row>
    <row r="1613" spans="12:13" x14ac:dyDescent="0.25">
      <c r="L1613" s="65">
        <v>422194</v>
      </c>
      <c r="M1613" t="s">
        <v>1414</v>
      </c>
    </row>
    <row r="1614" spans="12:13" x14ac:dyDescent="0.25">
      <c r="L1614" s="65">
        <v>422199</v>
      </c>
      <c r="M1614" t="s">
        <v>1415</v>
      </c>
    </row>
    <row r="1615" spans="12:13" x14ac:dyDescent="0.25">
      <c r="L1615" s="65">
        <v>422200</v>
      </c>
      <c r="M1615" t="s">
        <v>1416</v>
      </c>
    </row>
    <row r="1616" spans="12:13" x14ac:dyDescent="0.25">
      <c r="L1616" s="65">
        <v>422210</v>
      </c>
      <c r="M1616" t="s">
        <v>1417</v>
      </c>
    </row>
    <row r="1617" spans="12:13" x14ac:dyDescent="0.25">
      <c r="L1617" s="65">
        <v>422211</v>
      </c>
      <c r="M1617" t="s">
        <v>1417</v>
      </c>
    </row>
    <row r="1618" spans="12:13" x14ac:dyDescent="0.25">
      <c r="L1618" s="65">
        <v>422220</v>
      </c>
      <c r="M1618" t="s">
        <v>1418</v>
      </c>
    </row>
    <row r="1619" spans="12:13" x14ac:dyDescent="0.25">
      <c r="L1619" s="65">
        <v>422221</v>
      </c>
      <c r="M1619" t="s">
        <v>1418</v>
      </c>
    </row>
    <row r="1620" spans="12:13" x14ac:dyDescent="0.25">
      <c r="L1620" s="65">
        <v>422230</v>
      </c>
      <c r="M1620" t="s">
        <v>1419</v>
      </c>
    </row>
    <row r="1621" spans="12:13" x14ac:dyDescent="0.25">
      <c r="L1621" s="65">
        <v>422231</v>
      </c>
      <c r="M1621" t="s">
        <v>1419</v>
      </c>
    </row>
    <row r="1622" spans="12:13" x14ac:dyDescent="0.25">
      <c r="L1622" s="65">
        <v>422290</v>
      </c>
      <c r="M1622" t="s">
        <v>1410</v>
      </c>
    </row>
    <row r="1623" spans="12:13" x14ac:dyDescent="0.25">
      <c r="L1623" s="65">
        <v>422291</v>
      </c>
      <c r="M1623" t="s">
        <v>1420</v>
      </c>
    </row>
    <row r="1624" spans="12:13" x14ac:dyDescent="0.25">
      <c r="L1624" s="65">
        <v>422292</v>
      </c>
      <c r="M1624" t="s">
        <v>1412</v>
      </c>
    </row>
    <row r="1625" spans="12:13" x14ac:dyDescent="0.25">
      <c r="L1625" s="65">
        <v>422293</v>
      </c>
      <c r="M1625" t="s">
        <v>1414</v>
      </c>
    </row>
    <row r="1626" spans="12:13" x14ac:dyDescent="0.25">
      <c r="L1626" s="65">
        <v>422299</v>
      </c>
      <c r="M1626" t="s">
        <v>1421</v>
      </c>
    </row>
    <row r="1627" spans="12:13" x14ac:dyDescent="0.25">
      <c r="L1627" s="65">
        <v>422300</v>
      </c>
      <c r="M1627" t="s">
        <v>1422</v>
      </c>
    </row>
    <row r="1628" spans="12:13" x14ac:dyDescent="0.25">
      <c r="L1628" s="65">
        <v>422310</v>
      </c>
      <c r="M1628" t="s">
        <v>1423</v>
      </c>
    </row>
    <row r="1629" spans="12:13" x14ac:dyDescent="0.25">
      <c r="L1629" s="65">
        <v>422311</v>
      </c>
      <c r="M1629" t="s">
        <v>1423</v>
      </c>
    </row>
    <row r="1630" spans="12:13" x14ac:dyDescent="0.25">
      <c r="L1630" s="65">
        <v>422320</v>
      </c>
      <c r="M1630" t="s">
        <v>1424</v>
      </c>
    </row>
    <row r="1631" spans="12:13" x14ac:dyDescent="0.25">
      <c r="L1631" s="65">
        <v>422321</v>
      </c>
      <c r="M1631" t="s">
        <v>1424</v>
      </c>
    </row>
    <row r="1632" spans="12:13" x14ac:dyDescent="0.25">
      <c r="L1632" s="65">
        <v>422330</v>
      </c>
      <c r="M1632" t="s">
        <v>1425</v>
      </c>
    </row>
    <row r="1633" spans="12:13" x14ac:dyDescent="0.25">
      <c r="L1633" s="65">
        <v>422331</v>
      </c>
      <c r="M1633" t="s">
        <v>1425</v>
      </c>
    </row>
    <row r="1634" spans="12:13" x14ac:dyDescent="0.25">
      <c r="L1634" s="65">
        <v>422390</v>
      </c>
      <c r="M1634" t="s">
        <v>1426</v>
      </c>
    </row>
    <row r="1635" spans="12:13" x14ac:dyDescent="0.25">
      <c r="L1635" s="65">
        <v>422391</v>
      </c>
      <c r="M1635" t="s">
        <v>1427</v>
      </c>
    </row>
    <row r="1636" spans="12:13" x14ac:dyDescent="0.25">
      <c r="L1636" s="65">
        <v>422392</v>
      </c>
      <c r="M1636" t="s">
        <v>1412</v>
      </c>
    </row>
    <row r="1637" spans="12:13" x14ac:dyDescent="0.25">
      <c r="L1637" s="65">
        <v>422393</v>
      </c>
      <c r="M1637" t="s">
        <v>1428</v>
      </c>
    </row>
    <row r="1638" spans="12:13" x14ac:dyDescent="0.25">
      <c r="L1638" s="65">
        <v>422394</v>
      </c>
      <c r="M1638" t="s">
        <v>1429</v>
      </c>
    </row>
    <row r="1639" spans="12:13" x14ac:dyDescent="0.25">
      <c r="L1639" s="65">
        <v>422399</v>
      </c>
      <c r="M1639" t="s">
        <v>1430</v>
      </c>
    </row>
    <row r="1640" spans="12:13" x14ac:dyDescent="0.25">
      <c r="L1640" s="65">
        <v>422400</v>
      </c>
      <c r="M1640" t="s">
        <v>1431</v>
      </c>
    </row>
    <row r="1641" spans="12:13" x14ac:dyDescent="0.25">
      <c r="L1641" s="65">
        <v>422410</v>
      </c>
      <c r="M1641" t="s">
        <v>1431</v>
      </c>
    </row>
    <row r="1642" spans="12:13" x14ac:dyDescent="0.25">
      <c r="L1642" s="65">
        <v>422411</v>
      </c>
      <c r="M1642" t="s">
        <v>1432</v>
      </c>
    </row>
    <row r="1643" spans="12:13" x14ac:dyDescent="0.25">
      <c r="L1643" s="65">
        <v>422412</v>
      </c>
      <c r="M1643" t="s">
        <v>1433</v>
      </c>
    </row>
    <row r="1644" spans="12:13" x14ac:dyDescent="0.25">
      <c r="L1644" s="65">
        <v>422900</v>
      </c>
      <c r="M1644" t="s">
        <v>1434</v>
      </c>
    </row>
    <row r="1645" spans="12:13" x14ac:dyDescent="0.25">
      <c r="L1645" s="65">
        <v>422910</v>
      </c>
      <c r="M1645" t="s">
        <v>1434</v>
      </c>
    </row>
    <row r="1646" spans="12:13" x14ac:dyDescent="0.25">
      <c r="L1646" s="65">
        <v>422911</v>
      </c>
      <c r="M1646" t="s">
        <v>1435</v>
      </c>
    </row>
    <row r="1647" spans="12:13" x14ac:dyDescent="0.25">
      <c r="L1647" s="65">
        <v>423000</v>
      </c>
      <c r="M1647" t="s">
        <v>1436</v>
      </c>
    </row>
    <row r="1648" spans="12:13" x14ac:dyDescent="0.25">
      <c r="L1648" s="65">
        <v>423100</v>
      </c>
      <c r="M1648" t="s">
        <v>1437</v>
      </c>
    </row>
    <row r="1649" spans="12:13" x14ac:dyDescent="0.25">
      <c r="L1649" s="65">
        <v>423110</v>
      </c>
      <c r="M1649" t="s">
        <v>1438</v>
      </c>
    </row>
    <row r="1650" spans="12:13" x14ac:dyDescent="0.25">
      <c r="L1650" s="65">
        <v>423111</v>
      </c>
      <c r="M1650" t="s">
        <v>1438</v>
      </c>
    </row>
    <row r="1651" spans="12:13" x14ac:dyDescent="0.25">
      <c r="L1651" s="65">
        <v>423120</v>
      </c>
      <c r="M1651" t="s">
        <v>1439</v>
      </c>
    </row>
    <row r="1652" spans="12:13" x14ac:dyDescent="0.25">
      <c r="L1652" s="65">
        <v>423121</v>
      </c>
      <c r="M1652" t="s">
        <v>1439</v>
      </c>
    </row>
    <row r="1653" spans="12:13" x14ac:dyDescent="0.25">
      <c r="L1653" s="65">
        <v>423130</v>
      </c>
      <c r="M1653" t="s">
        <v>1440</v>
      </c>
    </row>
    <row r="1654" spans="12:13" x14ac:dyDescent="0.25">
      <c r="L1654" s="65">
        <v>423131</v>
      </c>
      <c r="M1654" t="s">
        <v>1440</v>
      </c>
    </row>
    <row r="1655" spans="12:13" x14ac:dyDescent="0.25">
      <c r="L1655" s="65">
        <v>423190</v>
      </c>
      <c r="M1655" t="s">
        <v>1441</v>
      </c>
    </row>
    <row r="1656" spans="12:13" x14ac:dyDescent="0.25">
      <c r="L1656" s="65">
        <v>423191</v>
      </c>
      <c r="M1656" t="s">
        <v>1441</v>
      </c>
    </row>
    <row r="1657" spans="12:13" x14ac:dyDescent="0.25">
      <c r="L1657" s="65">
        <v>423200</v>
      </c>
      <c r="M1657" t="s">
        <v>1442</v>
      </c>
    </row>
    <row r="1658" spans="12:13" x14ac:dyDescent="0.25">
      <c r="L1658" s="65">
        <v>423210</v>
      </c>
      <c r="M1658" t="s">
        <v>1443</v>
      </c>
    </row>
    <row r="1659" spans="12:13" x14ac:dyDescent="0.25">
      <c r="L1659" s="65">
        <v>423211</v>
      </c>
      <c r="M1659" t="s">
        <v>1444</v>
      </c>
    </row>
    <row r="1660" spans="12:13" x14ac:dyDescent="0.25">
      <c r="L1660" s="65">
        <v>423212</v>
      </c>
      <c r="M1660" t="s">
        <v>1445</v>
      </c>
    </row>
    <row r="1661" spans="12:13" x14ac:dyDescent="0.25">
      <c r="L1661" s="65">
        <v>423220</v>
      </c>
      <c r="M1661" t="s">
        <v>1446</v>
      </c>
    </row>
    <row r="1662" spans="12:13" x14ac:dyDescent="0.25">
      <c r="L1662" s="65">
        <v>423221</v>
      </c>
      <c r="M1662" t="s">
        <v>1446</v>
      </c>
    </row>
    <row r="1663" spans="12:13" x14ac:dyDescent="0.25">
      <c r="L1663" s="65">
        <v>423290</v>
      </c>
      <c r="M1663" t="s">
        <v>1447</v>
      </c>
    </row>
    <row r="1664" spans="12:13" x14ac:dyDescent="0.25">
      <c r="L1664" s="65">
        <v>423291</v>
      </c>
      <c r="M1664" t="s">
        <v>1447</v>
      </c>
    </row>
    <row r="1665" spans="12:13" x14ac:dyDescent="0.25">
      <c r="L1665" s="65">
        <v>423300</v>
      </c>
      <c r="M1665" t="s">
        <v>1448</v>
      </c>
    </row>
    <row r="1666" spans="12:13" x14ac:dyDescent="0.25">
      <c r="L1666" s="65">
        <v>423310</v>
      </c>
      <c r="M1666" t="s">
        <v>1448</v>
      </c>
    </row>
    <row r="1667" spans="12:13" x14ac:dyDescent="0.25">
      <c r="L1667" s="65">
        <v>423311</v>
      </c>
      <c r="M1667" t="s">
        <v>1448</v>
      </c>
    </row>
    <row r="1668" spans="12:13" x14ac:dyDescent="0.25">
      <c r="L1668" s="65">
        <v>423320</v>
      </c>
      <c r="M1668" t="s">
        <v>1449</v>
      </c>
    </row>
    <row r="1669" spans="12:13" x14ac:dyDescent="0.25">
      <c r="L1669" s="65">
        <v>423321</v>
      </c>
      <c r="M1669" t="s">
        <v>1450</v>
      </c>
    </row>
    <row r="1670" spans="12:13" x14ac:dyDescent="0.25">
      <c r="L1670" s="65">
        <v>423322</v>
      </c>
      <c r="M1670" t="s">
        <v>1451</v>
      </c>
    </row>
    <row r="1671" spans="12:13" x14ac:dyDescent="0.25">
      <c r="L1671" s="65">
        <v>423323</v>
      </c>
      <c r="M1671" t="s">
        <v>1452</v>
      </c>
    </row>
    <row r="1672" spans="12:13" x14ac:dyDescent="0.25">
      <c r="L1672" s="65">
        <v>423390</v>
      </c>
      <c r="M1672" t="s">
        <v>1453</v>
      </c>
    </row>
    <row r="1673" spans="12:13" x14ac:dyDescent="0.25">
      <c r="L1673" s="65">
        <v>423391</v>
      </c>
      <c r="M1673" t="s">
        <v>1454</v>
      </c>
    </row>
    <row r="1674" spans="12:13" x14ac:dyDescent="0.25">
      <c r="L1674" s="65">
        <v>423399</v>
      </c>
      <c r="M1674" t="s">
        <v>1455</v>
      </c>
    </row>
    <row r="1675" spans="12:13" x14ac:dyDescent="0.25">
      <c r="L1675" s="65">
        <v>423400</v>
      </c>
      <c r="M1675" t="s">
        <v>1456</v>
      </c>
    </row>
    <row r="1676" spans="12:13" x14ac:dyDescent="0.25">
      <c r="L1676" s="65">
        <v>423410</v>
      </c>
      <c r="M1676" t="s">
        <v>1457</v>
      </c>
    </row>
    <row r="1677" spans="12:13" x14ac:dyDescent="0.25">
      <c r="L1677" s="65">
        <v>423411</v>
      </c>
      <c r="M1677" t="s">
        <v>1458</v>
      </c>
    </row>
    <row r="1678" spans="12:13" x14ac:dyDescent="0.25">
      <c r="L1678" s="65">
        <v>423412</v>
      </c>
      <c r="M1678" t="s">
        <v>1459</v>
      </c>
    </row>
    <row r="1679" spans="12:13" x14ac:dyDescent="0.25">
      <c r="L1679" s="65">
        <v>423413</v>
      </c>
      <c r="M1679" t="s">
        <v>1460</v>
      </c>
    </row>
    <row r="1680" spans="12:13" x14ac:dyDescent="0.25">
      <c r="L1680" s="65">
        <v>423419</v>
      </c>
      <c r="M1680" t="s">
        <v>1461</v>
      </c>
    </row>
    <row r="1681" spans="12:13" x14ac:dyDescent="0.25">
      <c r="L1681" s="65">
        <v>423420</v>
      </c>
      <c r="M1681" t="s">
        <v>1462</v>
      </c>
    </row>
    <row r="1682" spans="12:13" x14ac:dyDescent="0.25">
      <c r="L1682" s="65">
        <v>423421</v>
      </c>
      <c r="M1682" t="s">
        <v>1463</v>
      </c>
    </row>
    <row r="1683" spans="12:13" x14ac:dyDescent="0.25">
      <c r="L1683" s="65">
        <v>423422</v>
      </c>
      <c r="M1683" t="s">
        <v>1464</v>
      </c>
    </row>
    <row r="1684" spans="12:13" x14ac:dyDescent="0.25">
      <c r="L1684" s="65">
        <v>423430</v>
      </c>
      <c r="M1684" t="s">
        <v>1465</v>
      </c>
    </row>
    <row r="1685" spans="12:13" x14ac:dyDescent="0.25">
      <c r="L1685" s="65">
        <v>423431</v>
      </c>
      <c r="M1685" t="s">
        <v>1465</v>
      </c>
    </row>
    <row r="1686" spans="12:13" x14ac:dyDescent="0.25">
      <c r="L1686" s="65">
        <v>423432</v>
      </c>
      <c r="M1686" t="s">
        <v>1466</v>
      </c>
    </row>
    <row r="1687" spans="12:13" x14ac:dyDescent="0.25">
      <c r="L1687" s="65">
        <v>423439</v>
      </c>
      <c r="M1687" t="s">
        <v>1467</v>
      </c>
    </row>
    <row r="1688" spans="12:13" x14ac:dyDescent="0.25">
      <c r="L1688" s="65">
        <v>423440</v>
      </c>
      <c r="M1688" t="s">
        <v>1468</v>
      </c>
    </row>
    <row r="1689" spans="12:13" x14ac:dyDescent="0.25">
      <c r="L1689" s="65">
        <v>423441</v>
      </c>
      <c r="M1689" t="s">
        <v>1469</v>
      </c>
    </row>
    <row r="1690" spans="12:13" x14ac:dyDescent="0.25">
      <c r="L1690" s="65">
        <v>423449</v>
      </c>
      <c r="M1690" t="s">
        <v>1470</v>
      </c>
    </row>
    <row r="1691" spans="12:13" x14ac:dyDescent="0.25">
      <c r="L1691" s="65">
        <v>423500</v>
      </c>
      <c r="M1691" t="s">
        <v>1471</v>
      </c>
    </row>
    <row r="1692" spans="12:13" x14ac:dyDescent="0.25">
      <c r="L1692" s="65">
        <v>423510</v>
      </c>
      <c r="M1692" t="s">
        <v>1472</v>
      </c>
    </row>
    <row r="1693" spans="12:13" x14ac:dyDescent="0.25">
      <c r="L1693" s="65">
        <v>423511</v>
      </c>
      <c r="M1693" t="s">
        <v>1472</v>
      </c>
    </row>
    <row r="1694" spans="12:13" x14ac:dyDescent="0.25">
      <c r="L1694" s="65">
        <v>423520</v>
      </c>
      <c r="M1694" t="s">
        <v>1473</v>
      </c>
    </row>
    <row r="1695" spans="12:13" x14ac:dyDescent="0.25">
      <c r="L1695" s="65">
        <v>423521</v>
      </c>
      <c r="M1695" t="s">
        <v>1474</v>
      </c>
    </row>
    <row r="1696" spans="12:13" x14ac:dyDescent="0.25">
      <c r="L1696" s="65">
        <v>423522</v>
      </c>
      <c r="M1696" t="s">
        <v>1475</v>
      </c>
    </row>
    <row r="1697" spans="12:13" x14ac:dyDescent="0.25">
      <c r="L1697" s="65">
        <v>423530</v>
      </c>
      <c r="M1697" t="s">
        <v>1476</v>
      </c>
    </row>
    <row r="1698" spans="12:13" x14ac:dyDescent="0.25">
      <c r="L1698" s="65">
        <v>423531</v>
      </c>
      <c r="M1698" t="s">
        <v>1477</v>
      </c>
    </row>
    <row r="1699" spans="12:13" x14ac:dyDescent="0.25">
      <c r="L1699" s="65">
        <v>423532</v>
      </c>
      <c r="M1699" t="s">
        <v>1478</v>
      </c>
    </row>
    <row r="1700" spans="12:13" x14ac:dyDescent="0.25">
      <c r="L1700" s="65">
        <v>423539</v>
      </c>
      <c r="M1700" t="s">
        <v>1479</v>
      </c>
    </row>
    <row r="1701" spans="12:13" x14ac:dyDescent="0.25">
      <c r="L1701" s="65">
        <v>423540</v>
      </c>
      <c r="M1701" t="s">
        <v>1480</v>
      </c>
    </row>
    <row r="1702" spans="12:13" x14ac:dyDescent="0.25">
      <c r="L1702" s="65">
        <v>423541</v>
      </c>
      <c r="M1702" t="s">
        <v>1481</v>
      </c>
    </row>
    <row r="1703" spans="12:13" x14ac:dyDescent="0.25">
      <c r="L1703" s="65">
        <v>423542</v>
      </c>
      <c r="M1703" t="s">
        <v>1482</v>
      </c>
    </row>
    <row r="1704" spans="12:13" x14ac:dyDescent="0.25">
      <c r="L1704" s="65">
        <v>423590</v>
      </c>
      <c r="M1704" t="s">
        <v>1483</v>
      </c>
    </row>
    <row r="1705" spans="12:13" x14ac:dyDescent="0.25">
      <c r="L1705" s="65">
        <v>423591</v>
      </c>
      <c r="M1705" t="s">
        <v>1337</v>
      </c>
    </row>
    <row r="1706" spans="12:13" x14ac:dyDescent="0.25">
      <c r="L1706" s="65">
        <v>423599</v>
      </c>
      <c r="M1706" t="s">
        <v>1483</v>
      </c>
    </row>
    <row r="1707" spans="12:13" x14ac:dyDescent="0.25">
      <c r="L1707" s="65">
        <v>423600</v>
      </c>
      <c r="M1707" t="s">
        <v>1484</v>
      </c>
    </row>
    <row r="1708" spans="12:13" x14ac:dyDescent="0.25">
      <c r="L1708" s="65">
        <v>423610</v>
      </c>
      <c r="M1708" t="s">
        <v>1485</v>
      </c>
    </row>
    <row r="1709" spans="12:13" x14ac:dyDescent="0.25">
      <c r="L1709" s="65">
        <v>423611</v>
      </c>
      <c r="M1709" t="s">
        <v>1486</v>
      </c>
    </row>
    <row r="1710" spans="12:13" x14ac:dyDescent="0.25">
      <c r="L1710" s="65">
        <v>423612</v>
      </c>
      <c r="M1710" t="s">
        <v>1487</v>
      </c>
    </row>
    <row r="1711" spans="12:13" x14ac:dyDescent="0.25">
      <c r="L1711" s="65">
        <v>423620</v>
      </c>
      <c r="M1711" t="s">
        <v>1488</v>
      </c>
    </row>
    <row r="1712" spans="12:13" x14ac:dyDescent="0.25">
      <c r="L1712" s="65">
        <v>423621</v>
      </c>
      <c r="M1712" t="s">
        <v>1488</v>
      </c>
    </row>
    <row r="1713" spans="12:13" x14ac:dyDescent="0.25">
      <c r="L1713" s="65">
        <v>423700</v>
      </c>
      <c r="M1713" t="s">
        <v>1489</v>
      </c>
    </row>
    <row r="1714" spans="12:13" x14ac:dyDescent="0.25">
      <c r="L1714" s="65">
        <v>423710</v>
      </c>
      <c r="M1714" t="s">
        <v>1489</v>
      </c>
    </row>
    <row r="1715" spans="12:13" x14ac:dyDescent="0.25">
      <c r="L1715" s="65">
        <v>423711</v>
      </c>
      <c r="M1715" t="s">
        <v>1489</v>
      </c>
    </row>
    <row r="1716" spans="12:13" x14ac:dyDescent="0.25">
      <c r="L1716" s="65">
        <v>423712</v>
      </c>
      <c r="M1716" t="s">
        <v>1490</v>
      </c>
    </row>
    <row r="1717" spans="12:13" x14ac:dyDescent="0.25">
      <c r="L1717" s="65">
        <v>423900</v>
      </c>
      <c r="M1717" t="s">
        <v>1491</v>
      </c>
    </row>
    <row r="1718" spans="12:13" x14ac:dyDescent="0.25">
      <c r="L1718" s="65">
        <v>423910</v>
      </c>
      <c r="M1718" t="s">
        <v>1491</v>
      </c>
    </row>
    <row r="1719" spans="12:13" x14ac:dyDescent="0.25">
      <c r="L1719" s="65">
        <v>423911</v>
      </c>
      <c r="M1719" t="s">
        <v>1491</v>
      </c>
    </row>
    <row r="1720" spans="12:13" x14ac:dyDescent="0.25">
      <c r="L1720" s="65">
        <v>424000</v>
      </c>
      <c r="M1720" t="s">
        <v>1492</v>
      </c>
    </row>
    <row r="1721" spans="12:13" x14ac:dyDescent="0.25">
      <c r="L1721" s="65">
        <v>424100</v>
      </c>
      <c r="M1721" t="s">
        <v>1493</v>
      </c>
    </row>
    <row r="1722" spans="12:13" x14ac:dyDescent="0.25">
      <c r="L1722" s="65">
        <v>424110</v>
      </c>
      <c r="M1722" t="s">
        <v>1494</v>
      </c>
    </row>
    <row r="1723" spans="12:13" x14ac:dyDescent="0.25">
      <c r="L1723" s="65">
        <v>424111</v>
      </c>
      <c r="M1723" t="s">
        <v>1495</v>
      </c>
    </row>
    <row r="1724" spans="12:13" x14ac:dyDescent="0.25">
      <c r="L1724" s="65">
        <v>424112</v>
      </c>
      <c r="M1724" t="s">
        <v>1496</v>
      </c>
    </row>
    <row r="1725" spans="12:13" x14ac:dyDescent="0.25">
      <c r="L1725" s="65">
        <v>424113</v>
      </c>
      <c r="M1725" t="s">
        <v>1497</v>
      </c>
    </row>
    <row r="1726" spans="12:13" x14ac:dyDescent="0.25">
      <c r="L1726" s="65">
        <v>424119</v>
      </c>
      <c r="M1726" t="s">
        <v>1498</v>
      </c>
    </row>
    <row r="1727" spans="12:13" x14ac:dyDescent="0.25">
      <c r="L1727" s="65">
        <v>424200</v>
      </c>
      <c r="M1727" t="s">
        <v>1499</v>
      </c>
    </row>
    <row r="1728" spans="12:13" x14ac:dyDescent="0.25">
      <c r="L1728" s="65">
        <v>424210</v>
      </c>
      <c r="M1728" t="s">
        <v>1500</v>
      </c>
    </row>
    <row r="1729" spans="12:13" x14ac:dyDescent="0.25">
      <c r="L1729" s="65">
        <v>424211</v>
      </c>
      <c r="M1729" t="s">
        <v>1500</v>
      </c>
    </row>
    <row r="1730" spans="12:13" x14ac:dyDescent="0.25">
      <c r="L1730" s="65">
        <v>424212</v>
      </c>
      <c r="M1730" t="s">
        <v>1501</v>
      </c>
    </row>
    <row r="1731" spans="12:13" x14ac:dyDescent="0.25">
      <c r="L1731" s="65">
        <v>424213</v>
      </c>
      <c r="M1731" t="s">
        <v>1502</v>
      </c>
    </row>
    <row r="1732" spans="12:13" x14ac:dyDescent="0.25">
      <c r="L1732" s="65">
        <v>424220</v>
      </c>
      <c r="M1732" t="s">
        <v>1503</v>
      </c>
    </row>
    <row r="1733" spans="12:13" x14ac:dyDescent="0.25">
      <c r="L1733" s="65">
        <v>424221</v>
      </c>
      <c r="M1733" t="s">
        <v>1503</v>
      </c>
    </row>
    <row r="1734" spans="12:13" x14ac:dyDescent="0.25">
      <c r="L1734" s="65">
        <v>424230</v>
      </c>
      <c r="M1734" t="s">
        <v>1504</v>
      </c>
    </row>
    <row r="1735" spans="12:13" x14ac:dyDescent="0.25">
      <c r="L1735" s="65">
        <v>424231</v>
      </c>
      <c r="M1735" t="s">
        <v>1504</v>
      </c>
    </row>
    <row r="1736" spans="12:13" x14ac:dyDescent="0.25">
      <c r="L1736" s="65">
        <v>424300</v>
      </c>
      <c r="M1736" t="s">
        <v>1505</v>
      </c>
    </row>
    <row r="1737" spans="12:13" x14ac:dyDescent="0.25">
      <c r="L1737" s="65">
        <v>424310</v>
      </c>
      <c r="M1737" t="s">
        <v>1506</v>
      </c>
    </row>
    <row r="1738" spans="12:13" x14ac:dyDescent="0.25">
      <c r="L1738" s="65">
        <v>424311</v>
      </c>
      <c r="M1738" t="s">
        <v>1506</v>
      </c>
    </row>
    <row r="1739" spans="12:13" x14ac:dyDescent="0.25">
      <c r="L1739" s="65">
        <v>424320</v>
      </c>
      <c r="M1739" t="s">
        <v>1507</v>
      </c>
    </row>
    <row r="1740" spans="12:13" x14ac:dyDescent="0.25">
      <c r="L1740" s="65">
        <v>424321</v>
      </c>
      <c r="M1740" t="s">
        <v>1507</v>
      </c>
    </row>
    <row r="1741" spans="12:13" x14ac:dyDescent="0.25">
      <c r="L1741" s="65">
        <v>424330</v>
      </c>
      <c r="M1741" t="s">
        <v>1508</v>
      </c>
    </row>
    <row r="1742" spans="12:13" x14ac:dyDescent="0.25">
      <c r="L1742" s="65">
        <v>424331</v>
      </c>
      <c r="M1742" t="s">
        <v>1508</v>
      </c>
    </row>
    <row r="1743" spans="12:13" x14ac:dyDescent="0.25">
      <c r="L1743" s="65">
        <v>424340</v>
      </c>
      <c r="M1743" t="s">
        <v>1509</v>
      </c>
    </row>
    <row r="1744" spans="12:13" x14ac:dyDescent="0.25">
      <c r="L1744" s="65">
        <v>424341</v>
      </c>
      <c r="M1744" t="s">
        <v>1509</v>
      </c>
    </row>
    <row r="1745" spans="12:13" x14ac:dyDescent="0.25">
      <c r="L1745" s="65">
        <v>424350</v>
      </c>
      <c r="M1745" t="s">
        <v>1510</v>
      </c>
    </row>
    <row r="1746" spans="12:13" x14ac:dyDescent="0.25">
      <c r="L1746" s="65">
        <v>424351</v>
      </c>
      <c r="M1746" t="s">
        <v>1510</v>
      </c>
    </row>
    <row r="1747" spans="12:13" x14ac:dyDescent="0.25">
      <c r="L1747" s="65">
        <v>424400</v>
      </c>
      <c r="M1747" t="s">
        <v>1511</v>
      </c>
    </row>
    <row r="1748" spans="12:13" x14ac:dyDescent="0.25">
      <c r="L1748" s="65">
        <v>424410</v>
      </c>
      <c r="M1748" t="s">
        <v>1511</v>
      </c>
    </row>
    <row r="1749" spans="12:13" x14ac:dyDescent="0.25">
      <c r="L1749" s="65">
        <v>424411</v>
      </c>
      <c r="M1749" t="s">
        <v>1511</v>
      </c>
    </row>
    <row r="1750" spans="12:13" x14ac:dyDescent="0.25">
      <c r="L1750" s="65">
        <v>424500</v>
      </c>
      <c r="M1750" t="s">
        <v>1512</v>
      </c>
    </row>
    <row r="1751" spans="12:13" x14ac:dyDescent="0.25">
      <c r="L1751" s="65">
        <v>424510</v>
      </c>
      <c r="M1751" t="s">
        <v>1512</v>
      </c>
    </row>
    <row r="1752" spans="12:13" x14ac:dyDescent="0.25">
      <c r="L1752" s="65">
        <v>424511</v>
      </c>
      <c r="M1752" t="s">
        <v>1512</v>
      </c>
    </row>
    <row r="1753" spans="12:13" x14ac:dyDescent="0.25">
      <c r="L1753" s="65">
        <v>424600</v>
      </c>
      <c r="M1753" t="s">
        <v>1513</v>
      </c>
    </row>
    <row r="1754" spans="12:13" x14ac:dyDescent="0.25">
      <c r="L1754" s="65">
        <v>424610</v>
      </c>
      <c r="M1754" t="s">
        <v>1514</v>
      </c>
    </row>
    <row r="1755" spans="12:13" x14ac:dyDescent="0.25">
      <c r="L1755" s="65">
        <v>424611</v>
      </c>
      <c r="M1755" t="s">
        <v>1514</v>
      </c>
    </row>
    <row r="1756" spans="12:13" x14ac:dyDescent="0.25">
      <c r="L1756" s="65">
        <v>424620</v>
      </c>
      <c r="M1756" t="s">
        <v>1515</v>
      </c>
    </row>
    <row r="1757" spans="12:13" x14ac:dyDescent="0.25">
      <c r="L1757" s="65">
        <v>424621</v>
      </c>
      <c r="M1757" t="s">
        <v>1515</v>
      </c>
    </row>
    <row r="1758" spans="12:13" x14ac:dyDescent="0.25">
      <c r="L1758" s="65">
        <v>424630</v>
      </c>
      <c r="M1758" t="s">
        <v>1516</v>
      </c>
    </row>
    <row r="1759" spans="12:13" x14ac:dyDescent="0.25">
      <c r="L1759" s="65">
        <v>424631</v>
      </c>
      <c r="M1759" t="s">
        <v>1516</v>
      </c>
    </row>
    <row r="1760" spans="12:13" x14ac:dyDescent="0.25">
      <c r="L1760" s="65">
        <v>424900</v>
      </c>
      <c r="M1760" t="s">
        <v>1517</v>
      </c>
    </row>
    <row r="1761" spans="12:13" x14ac:dyDescent="0.25">
      <c r="L1761" s="65">
        <v>424910</v>
      </c>
      <c r="M1761" t="s">
        <v>1517</v>
      </c>
    </row>
    <row r="1762" spans="12:13" x14ac:dyDescent="0.25">
      <c r="L1762" s="65">
        <v>424911</v>
      </c>
      <c r="M1762" t="s">
        <v>1517</v>
      </c>
    </row>
    <row r="1763" spans="12:13" x14ac:dyDescent="0.25">
      <c r="L1763" s="65">
        <v>425000</v>
      </c>
      <c r="M1763" t="s">
        <v>1518</v>
      </c>
    </row>
    <row r="1764" spans="12:13" x14ac:dyDescent="0.25">
      <c r="L1764" s="65">
        <v>425100</v>
      </c>
      <c r="M1764" t="s">
        <v>1519</v>
      </c>
    </row>
    <row r="1765" spans="12:13" x14ac:dyDescent="0.25">
      <c r="L1765" s="65">
        <v>425110</v>
      </c>
      <c r="M1765" t="s">
        <v>1520</v>
      </c>
    </row>
    <row r="1766" spans="12:13" x14ac:dyDescent="0.25">
      <c r="L1766" s="65">
        <v>425111</v>
      </c>
      <c r="M1766" t="s">
        <v>1521</v>
      </c>
    </row>
    <row r="1767" spans="12:13" x14ac:dyDescent="0.25">
      <c r="L1767" s="65">
        <v>425112</v>
      </c>
      <c r="M1767" t="s">
        <v>1522</v>
      </c>
    </row>
    <row r="1768" spans="12:13" x14ac:dyDescent="0.25">
      <c r="L1768" s="65">
        <v>425113</v>
      </c>
      <c r="M1768" t="s">
        <v>1523</v>
      </c>
    </row>
    <row r="1769" spans="12:13" x14ac:dyDescent="0.25">
      <c r="L1769" s="65">
        <v>425114</v>
      </c>
      <c r="M1769" t="s">
        <v>1524</v>
      </c>
    </row>
    <row r="1770" spans="12:13" x14ac:dyDescent="0.25">
      <c r="L1770" s="65">
        <v>425115</v>
      </c>
      <c r="M1770" t="s">
        <v>1525</v>
      </c>
    </row>
    <row r="1771" spans="12:13" x14ac:dyDescent="0.25">
      <c r="L1771" s="65">
        <v>425116</v>
      </c>
      <c r="M1771" t="s">
        <v>1354</v>
      </c>
    </row>
    <row r="1772" spans="12:13" x14ac:dyDescent="0.25">
      <c r="L1772" s="65">
        <v>425117</v>
      </c>
      <c r="M1772" t="s">
        <v>1526</v>
      </c>
    </row>
    <row r="1773" spans="12:13" x14ac:dyDescent="0.25">
      <c r="L1773" s="65">
        <v>425118</v>
      </c>
      <c r="M1773" t="s">
        <v>1527</v>
      </c>
    </row>
    <row r="1774" spans="12:13" x14ac:dyDescent="0.25">
      <c r="L1774" s="65">
        <v>425119</v>
      </c>
      <c r="M1774" t="s">
        <v>1528</v>
      </c>
    </row>
    <row r="1775" spans="12:13" x14ac:dyDescent="0.25">
      <c r="L1775" s="65">
        <v>425190</v>
      </c>
      <c r="M1775" t="s">
        <v>1529</v>
      </c>
    </row>
    <row r="1776" spans="12:13" x14ac:dyDescent="0.25">
      <c r="L1776" s="65">
        <v>425191</v>
      </c>
      <c r="M1776" t="s">
        <v>1529</v>
      </c>
    </row>
    <row r="1777" spans="12:13" x14ac:dyDescent="0.25">
      <c r="L1777" s="65">
        <v>425200</v>
      </c>
      <c r="M1777" t="s">
        <v>1530</v>
      </c>
    </row>
    <row r="1778" spans="12:13" x14ac:dyDescent="0.25">
      <c r="L1778" s="65">
        <v>425210</v>
      </c>
      <c r="M1778" t="s">
        <v>1531</v>
      </c>
    </row>
    <row r="1779" spans="12:13" x14ac:dyDescent="0.25">
      <c r="L1779" s="65">
        <v>425211</v>
      </c>
      <c r="M1779" t="s">
        <v>1532</v>
      </c>
    </row>
    <row r="1780" spans="12:13" x14ac:dyDescent="0.25">
      <c r="L1780" s="65">
        <v>425212</v>
      </c>
      <c r="M1780" t="s">
        <v>1533</v>
      </c>
    </row>
    <row r="1781" spans="12:13" x14ac:dyDescent="0.25">
      <c r="L1781" s="65">
        <v>425213</v>
      </c>
      <c r="M1781" t="s">
        <v>1534</v>
      </c>
    </row>
    <row r="1782" spans="12:13" x14ac:dyDescent="0.25">
      <c r="L1782" s="65">
        <v>425219</v>
      </c>
      <c r="M1782" t="s">
        <v>1535</v>
      </c>
    </row>
    <row r="1783" spans="12:13" x14ac:dyDescent="0.25">
      <c r="L1783" s="65">
        <v>425220</v>
      </c>
      <c r="M1783" t="s">
        <v>1536</v>
      </c>
    </row>
    <row r="1784" spans="12:13" x14ac:dyDescent="0.25">
      <c r="L1784" s="65">
        <v>425221</v>
      </c>
      <c r="M1784" t="s">
        <v>1537</v>
      </c>
    </row>
    <row r="1785" spans="12:13" x14ac:dyDescent="0.25">
      <c r="L1785" s="65">
        <v>425222</v>
      </c>
      <c r="M1785" t="s">
        <v>337</v>
      </c>
    </row>
    <row r="1786" spans="12:13" x14ac:dyDescent="0.25">
      <c r="L1786" s="65">
        <v>425223</v>
      </c>
      <c r="M1786" t="s">
        <v>1538</v>
      </c>
    </row>
    <row r="1787" spans="12:13" x14ac:dyDescent="0.25">
      <c r="L1787" s="65">
        <v>425224</v>
      </c>
      <c r="M1787" t="s">
        <v>339</v>
      </c>
    </row>
    <row r="1788" spans="12:13" x14ac:dyDescent="0.25">
      <c r="L1788" s="65">
        <v>425225</v>
      </c>
      <c r="M1788" t="s">
        <v>340</v>
      </c>
    </row>
    <row r="1789" spans="12:13" x14ac:dyDescent="0.25">
      <c r="L1789" s="65">
        <v>425226</v>
      </c>
      <c r="M1789" t="s">
        <v>1539</v>
      </c>
    </row>
    <row r="1790" spans="12:13" x14ac:dyDescent="0.25">
      <c r="L1790" s="65">
        <v>425227</v>
      </c>
      <c r="M1790" t="s">
        <v>1540</v>
      </c>
    </row>
    <row r="1791" spans="12:13" x14ac:dyDescent="0.25">
      <c r="L1791" s="65">
        <v>425229</v>
      </c>
      <c r="M1791" t="s">
        <v>1541</v>
      </c>
    </row>
    <row r="1792" spans="12:13" x14ac:dyDescent="0.25">
      <c r="L1792" s="65">
        <v>425230</v>
      </c>
      <c r="M1792" t="s">
        <v>1542</v>
      </c>
    </row>
    <row r="1793" spans="12:13" x14ac:dyDescent="0.25">
      <c r="L1793" s="65">
        <v>425231</v>
      </c>
      <c r="M1793" t="s">
        <v>1542</v>
      </c>
    </row>
    <row r="1794" spans="12:13" x14ac:dyDescent="0.25">
      <c r="L1794" s="65">
        <v>425240</v>
      </c>
      <c r="M1794" t="s">
        <v>1543</v>
      </c>
    </row>
    <row r="1795" spans="12:13" x14ac:dyDescent="0.25">
      <c r="L1795" s="65">
        <v>425241</v>
      </c>
      <c r="M1795" t="s">
        <v>1544</v>
      </c>
    </row>
    <row r="1796" spans="12:13" x14ac:dyDescent="0.25">
      <c r="L1796" s="65">
        <v>425242</v>
      </c>
      <c r="M1796" t="s">
        <v>1545</v>
      </c>
    </row>
    <row r="1797" spans="12:13" x14ac:dyDescent="0.25">
      <c r="L1797" s="65">
        <v>425250</v>
      </c>
      <c r="M1797" t="s">
        <v>1546</v>
      </c>
    </row>
    <row r="1798" spans="12:13" x14ac:dyDescent="0.25">
      <c r="L1798" s="65">
        <v>425251</v>
      </c>
      <c r="M1798" t="s">
        <v>1547</v>
      </c>
    </row>
    <row r="1799" spans="12:13" x14ac:dyDescent="0.25">
      <c r="L1799" s="65">
        <v>425252</v>
      </c>
      <c r="M1799" t="s">
        <v>1548</v>
      </c>
    </row>
    <row r="1800" spans="12:13" x14ac:dyDescent="0.25">
      <c r="L1800" s="65">
        <v>425253</v>
      </c>
      <c r="M1800" t="s">
        <v>1549</v>
      </c>
    </row>
    <row r="1801" spans="12:13" x14ac:dyDescent="0.25">
      <c r="L1801" s="65">
        <v>425260</v>
      </c>
      <c r="M1801" t="s">
        <v>1550</v>
      </c>
    </row>
    <row r="1802" spans="12:13" x14ac:dyDescent="0.25">
      <c r="L1802" s="65">
        <v>425261</v>
      </c>
      <c r="M1802" t="s">
        <v>1551</v>
      </c>
    </row>
    <row r="1803" spans="12:13" x14ac:dyDescent="0.25">
      <c r="L1803" s="65">
        <v>425262</v>
      </c>
      <c r="M1803" t="s">
        <v>1552</v>
      </c>
    </row>
    <row r="1804" spans="12:13" x14ac:dyDescent="0.25">
      <c r="L1804" s="65">
        <v>425263</v>
      </c>
      <c r="M1804" t="s">
        <v>1553</v>
      </c>
    </row>
    <row r="1805" spans="12:13" x14ac:dyDescent="0.25">
      <c r="L1805" s="65">
        <v>425270</v>
      </c>
      <c r="M1805" t="s">
        <v>1554</v>
      </c>
    </row>
    <row r="1806" spans="12:13" x14ac:dyDescent="0.25">
      <c r="L1806" s="65">
        <v>425271</v>
      </c>
      <c r="M1806" t="s">
        <v>1554</v>
      </c>
    </row>
    <row r="1807" spans="12:13" x14ac:dyDescent="0.25">
      <c r="L1807" s="65">
        <v>425280</v>
      </c>
      <c r="M1807" t="s">
        <v>1555</v>
      </c>
    </row>
    <row r="1808" spans="12:13" x14ac:dyDescent="0.25">
      <c r="L1808" s="65">
        <v>425281</v>
      </c>
      <c r="M1808" t="s">
        <v>1555</v>
      </c>
    </row>
    <row r="1809" spans="12:13" x14ac:dyDescent="0.25">
      <c r="L1809" s="65">
        <v>425290</v>
      </c>
      <c r="M1809" t="s">
        <v>1556</v>
      </c>
    </row>
    <row r="1810" spans="12:13" x14ac:dyDescent="0.25">
      <c r="L1810" s="65">
        <v>425291</v>
      </c>
      <c r="M1810" t="s">
        <v>1556</v>
      </c>
    </row>
    <row r="1811" spans="12:13" x14ac:dyDescent="0.25">
      <c r="L1811" s="65">
        <v>426000</v>
      </c>
      <c r="M1811" t="s">
        <v>1557</v>
      </c>
    </row>
    <row r="1812" spans="12:13" x14ac:dyDescent="0.25">
      <c r="L1812" s="65">
        <v>426100</v>
      </c>
      <c r="M1812" t="s">
        <v>1558</v>
      </c>
    </row>
    <row r="1813" spans="12:13" x14ac:dyDescent="0.25">
      <c r="L1813" s="65">
        <v>426110</v>
      </c>
      <c r="M1813" t="s">
        <v>1559</v>
      </c>
    </row>
    <row r="1814" spans="12:13" x14ac:dyDescent="0.25">
      <c r="L1814" s="65">
        <v>426111</v>
      </c>
      <c r="M1814" t="s">
        <v>1559</v>
      </c>
    </row>
    <row r="1815" spans="12:13" x14ac:dyDescent="0.25">
      <c r="L1815" s="65">
        <v>426120</v>
      </c>
      <c r="M1815" t="s">
        <v>1560</v>
      </c>
    </row>
    <row r="1816" spans="12:13" x14ac:dyDescent="0.25">
      <c r="L1816" s="65">
        <v>426121</v>
      </c>
      <c r="M1816" t="s">
        <v>1561</v>
      </c>
    </row>
    <row r="1817" spans="12:13" x14ac:dyDescent="0.25">
      <c r="L1817" s="65">
        <v>426122</v>
      </c>
      <c r="M1817" t="s">
        <v>1562</v>
      </c>
    </row>
    <row r="1818" spans="12:13" x14ac:dyDescent="0.25">
      <c r="L1818" s="65">
        <v>426123</v>
      </c>
      <c r="M1818" t="s">
        <v>1563</v>
      </c>
    </row>
    <row r="1819" spans="12:13" x14ac:dyDescent="0.25">
      <c r="L1819" s="65">
        <v>426124</v>
      </c>
      <c r="M1819" t="s">
        <v>1564</v>
      </c>
    </row>
    <row r="1820" spans="12:13" x14ac:dyDescent="0.25">
      <c r="L1820" s="65">
        <v>426129</v>
      </c>
      <c r="M1820" t="s">
        <v>1565</v>
      </c>
    </row>
    <row r="1821" spans="12:13" x14ac:dyDescent="0.25">
      <c r="L1821" s="65">
        <v>426130</v>
      </c>
      <c r="M1821" t="s">
        <v>1566</v>
      </c>
    </row>
    <row r="1822" spans="12:13" x14ac:dyDescent="0.25">
      <c r="L1822" s="65">
        <v>426131</v>
      </c>
      <c r="M1822" t="s">
        <v>1567</v>
      </c>
    </row>
    <row r="1823" spans="12:13" x14ac:dyDescent="0.25">
      <c r="L1823" s="65">
        <v>426190</v>
      </c>
      <c r="M1823" t="s">
        <v>1568</v>
      </c>
    </row>
    <row r="1824" spans="12:13" x14ac:dyDescent="0.25">
      <c r="L1824" s="65">
        <v>426191</v>
      </c>
      <c r="M1824" t="s">
        <v>1568</v>
      </c>
    </row>
    <row r="1825" spans="12:13" x14ac:dyDescent="0.25">
      <c r="L1825" s="65">
        <v>426200</v>
      </c>
      <c r="M1825" t="s">
        <v>1569</v>
      </c>
    </row>
    <row r="1826" spans="12:13" x14ac:dyDescent="0.25">
      <c r="L1826" s="65">
        <v>426210</v>
      </c>
      <c r="M1826" t="s">
        <v>1570</v>
      </c>
    </row>
    <row r="1827" spans="12:13" x14ac:dyDescent="0.25">
      <c r="L1827" s="65">
        <v>426211</v>
      </c>
      <c r="M1827" t="s">
        <v>1570</v>
      </c>
    </row>
    <row r="1828" spans="12:13" x14ac:dyDescent="0.25">
      <c r="L1828" s="65">
        <v>426220</v>
      </c>
      <c r="M1828" t="s">
        <v>1571</v>
      </c>
    </row>
    <row r="1829" spans="12:13" x14ac:dyDescent="0.25">
      <c r="L1829" s="65">
        <v>426221</v>
      </c>
      <c r="M1829" t="s">
        <v>1571</v>
      </c>
    </row>
    <row r="1830" spans="12:13" x14ac:dyDescent="0.25">
      <c r="L1830" s="65">
        <v>426230</v>
      </c>
      <c r="M1830" t="s">
        <v>1572</v>
      </c>
    </row>
    <row r="1831" spans="12:13" x14ac:dyDescent="0.25">
      <c r="L1831" s="65">
        <v>426231</v>
      </c>
      <c r="M1831" t="s">
        <v>1572</v>
      </c>
    </row>
    <row r="1832" spans="12:13" x14ac:dyDescent="0.25">
      <c r="L1832" s="65">
        <v>426240</v>
      </c>
      <c r="M1832" t="s">
        <v>1573</v>
      </c>
    </row>
    <row r="1833" spans="12:13" x14ac:dyDescent="0.25">
      <c r="L1833" s="65">
        <v>426241</v>
      </c>
      <c r="M1833" t="s">
        <v>1573</v>
      </c>
    </row>
    <row r="1834" spans="12:13" x14ac:dyDescent="0.25">
      <c r="L1834" s="65">
        <v>426250</v>
      </c>
      <c r="M1834" t="s">
        <v>1574</v>
      </c>
    </row>
    <row r="1835" spans="12:13" x14ac:dyDescent="0.25">
      <c r="L1835" s="65">
        <v>426251</v>
      </c>
      <c r="M1835" t="s">
        <v>1574</v>
      </c>
    </row>
    <row r="1836" spans="12:13" x14ac:dyDescent="0.25">
      <c r="L1836" s="65">
        <v>426290</v>
      </c>
      <c r="M1836" t="s">
        <v>1575</v>
      </c>
    </row>
    <row r="1837" spans="12:13" x14ac:dyDescent="0.25">
      <c r="L1837" s="65">
        <v>426291</v>
      </c>
      <c r="M1837" t="s">
        <v>1575</v>
      </c>
    </row>
    <row r="1838" spans="12:13" x14ac:dyDescent="0.25">
      <c r="L1838" s="65">
        <v>426300</v>
      </c>
      <c r="M1838" t="s">
        <v>1576</v>
      </c>
    </row>
    <row r="1839" spans="12:13" x14ac:dyDescent="0.25">
      <c r="L1839" s="65">
        <v>426310</v>
      </c>
      <c r="M1839" t="s">
        <v>1577</v>
      </c>
    </row>
    <row r="1840" spans="12:13" x14ac:dyDescent="0.25">
      <c r="L1840" s="65">
        <v>426311</v>
      </c>
      <c r="M1840" t="s">
        <v>1578</v>
      </c>
    </row>
    <row r="1841" spans="12:13" x14ac:dyDescent="0.25">
      <c r="L1841" s="65">
        <v>426312</v>
      </c>
      <c r="M1841" t="s">
        <v>1579</v>
      </c>
    </row>
    <row r="1842" spans="12:13" x14ac:dyDescent="0.25">
      <c r="L1842" s="65">
        <v>426320</v>
      </c>
      <c r="M1842" t="s">
        <v>1580</v>
      </c>
    </row>
    <row r="1843" spans="12:13" x14ac:dyDescent="0.25">
      <c r="L1843" s="65">
        <v>426321</v>
      </c>
      <c r="M1843" t="s">
        <v>1580</v>
      </c>
    </row>
    <row r="1844" spans="12:13" x14ac:dyDescent="0.25">
      <c r="L1844" s="65">
        <v>426400</v>
      </c>
      <c r="M1844" t="s">
        <v>1581</v>
      </c>
    </row>
    <row r="1845" spans="12:13" x14ac:dyDescent="0.25">
      <c r="L1845" s="65">
        <v>426410</v>
      </c>
      <c r="M1845" t="s">
        <v>1582</v>
      </c>
    </row>
    <row r="1846" spans="12:13" x14ac:dyDescent="0.25">
      <c r="L1846" s="65">
        <v>426411</v>
      </c>
      <c r="M1846" t="s">
        <v>1583</v>
      </c>
    </row>
    <row r="1847" spans="12:13" x14ac:dyDescent="0.25">
      <c r="L1847" s="65">
        <v>426412</v>
      </c>
      <c r="M1847" t="s">
        <v>1584</v>
      </c>
    </row>
    <row r="1848" spans="12:13" x14ac:dyDescent="0.25">
      <c r="L1848" s="65">
        <v>426413</v>
      </c>
      <c r="M1848" t="s">
        <v>1585</v>
      </c>
    </row>
    <row r="1849" spans="12:13" x14ac:dyDescent="0.25">
      <c r="L1849" s="65">
        <v>426490</v>
      </c>
      <c r="M1849" t="s">
        <v>1586</v>
      </c>
    </row>
    <row r="1850" spans="12:13" x14ac:dyDescent="0.25">
      <c r="L1850" s="65">
        <v>426491</v>
      </c>
      <c r="M1850" t="s">
        <v>1586</v>
      </c>
    </row>
    <row r="1851" spans="12:13" x14ac:dyDescent="0.25">
      <c r="L1851" s="65">
        <v>426500</v>
      </c>
      <c r="M1851" t="s">
        <v>1587</v>
      </c>
    </row>
    <row r="1852" spans="12:13" x14ac:dyDescent="0.25">
      <c r="L1852" s="65">
        <v>426510</v>
      </c>
      <c r="M1852" t="s">
        <v>1588</v>
      </c>
    </row>
    <row r="1853" spans="12:13" x14ac:dyDescent="0.25">
      <c r="L1853" s="65">
        <v>426511</v>
      </c>
      <c r="M1853" t="s">
        <v>1588</v>
      </c>
    </row>
    <row r="1854" spans="12:13" x14ac:dyDescent="0.25">
      <c r="L1854" s="65">
        <v>426520</v>
      </c>
      <c r="M1854" t="s">
        <v>1589</v>
      </c>
    </row>
    <row r="1855" spans="12:13" x14ac:dyDescent="0.25">
      <c r="L1855" s="65">
        <v>426521</v>
      </c>
      <c r="M1855" t="s">
        <v>1589</v>
      </c>
    </row>
    <row r="1856" spans="12:13" x14ac:dyDescent="0.25">
      <c r="L1856" s="65">
        <v>426530</v>
      </c>
      <c r="M1856" t="s">
        <v>1590</v>
      </c>
    </row>
    <row r="1857" spans="12:13" x14ac:dyDescent="0.25">
      <c r="L1857" s="65">
        <v>426531</v>
      </c>
      <c r="M1857" t="s">
        <v>1590</v>
      </c>
    </row>
    <row r="1858" spans="12:13" x14ac:dyDescent="0.25">
      <c r="L1858" s="65">
        <v>426540</v>
      </c>
      <c r="M1858" t="s">
        <v>1591</v>
      </c>
    </row>
    <row r="1859" spans="12:13" x14ac:dyDescent="0.25">
      <c r="L1859" s="65">
        <v>426541</v>
      </c>
      <c r="M1859" t="s">
        <v>1591</v>
      </c>
    </row>
    <row r="1860" spans="12:13" x14ac:dyDescent="0.25">
      <c r="L1860" s="65">
        <v>426550</v>
      </c>
      <c r="M1860" t="s">
        <v>1592</v>
      </c>
    </row>
    <row r="1861" spans="12:13" x14ac:dyDescent="0.25">
      <c r="L1861" s="65">
        <v>426551</v>
      </c>
      <c r="M1861" t="s">
        <v>1592</v>
      </c>
    </row>
    <row r="1862" spans="12:13" x14ac:dyDescent="0.25">
      <c r="L1862" s="65">
        <v>426590</v>
      </c>
      <c r="M1862" t="s">
        <v>1593</v>
      </c>
    </row>
    <row r="1863" spans="12:13" x14ac:dyDescent="0.25">
      <c r="L1863" s="65">
        <v>426591</v>
      </c>
      <c r="M1863" t="s">
        <v>1593</v>
      </c>
    </row>
    <row r="1864" spans="12:13" x14ac:dyDescent="0.25">
      <c r="L1864" s="65">
        <v>426600</v>
      </c>
      <c r="M1864" t="s">
        <v>1594</v>
      </c>
    </row>
    <row r="1865" spans="12:13" x14ac:dyDescent="0.25">
      <c r="L1865" s="65">
        <v>426610</v>
      </c>
      <c r="M1865" t="s">
        <v>1580</v>
      </c>
    </row>
    <row r="1866" spans="12:13" x14ac:dyDescent="0.25">
      <c r="L1866" s="65">
        <v>426611</v>
      </c>
      <c r="M1866" t="s">
        <v>1580</v>
      </c>
    </row>
    <row r="1867" spans="12:13" x14ac:dyDescent="0.25">
      <c r="L1867" s="65">
        <v>426620</v>
      </c>
      <c r="M1867" t="s">
        <v>1595</v>
      </c>
    </row>
    <row r="1868" spans="12:13" x14ac:dyDescent="0.25">
      <c r="L1868" s="65">
        <v>426621</v>
      </c>
      <c r="M1868" t="s">
        <v>1595</v>
      </c>
    </row>
    <row r="1869" spans="12:13" x14ac:dyDescent="0.25">
      <c r="L1869" s="65">
        <v>426630</v>
      </c>
      <c r="M1869" t="s">
        <v>1596</v>
      </c>
    </row>
    <row r="1870" spans="12:13" x14ac:dyDescent="0.25">
      <c r="L1870" s="65">
        <v>426631</v>
      </c>
      <c r="M1870" t="s">
        <v>1596</v>
      </c>
    </row>
    <row r="1871" spans="12:13" x14ac:dyDescent="0.25">
      <c r="L1871" s="65">
        <v>426700</v>
      </c>
      <c r="M1871" t="s">
        <v>1597</v>
      </c>
    </row>
    <row r="1872" spans="12:13" x14ac:dyDescent="0.25">
      <c r="L1872" s="65">
        <v>426710</v>
      </c>
      <c r="M1872" t="s">
        <v>1598</v>
      </c>
    </row>
    <row r="1873" spans="12:13" x14ac:dyDescent="0.25">
      <c r="L1873" s="65">
        <v>426711</v>
      </c>
      <c r="M1873" t="s">
        <v>1598</v>
      </c>
    </row>
    <row r="1874" spans="12:13" x14ac:dyDescent="0.25">
      <c r="L1874" s="65">
        <v>426720</v>
      </c>
      <c r="M1874" t="s">
        <v>1599</v>
      </c>
    </row>
    <row r="1875" spans="12:13" x14ac:dyDescent="0.25">
      <c r="L1875" s="65">
        <v>426721</v>
      </c>
      <c r="M1875" t="s">
        <v>1599</v>
      </c>
    </row>
    <row r="1876" spans="12:13" x14ac:dyDescent="0.25">
      <c r="L1876" s="65">
        <v>426730</v>
      </c>
      <c r="M1876" t="s">
        <v>1600</v>
      </c>
    </row>
    <row r="1877" spans="12:13" x14ac:dyDescent="0.25">
      <c r="L1877" s="65">
        <v>426731</v>
      </c>
      <c r="M1877" t="s">
        <v>1600</v>
      </c>
    </row>
    <row r="1878" spans="12:13" x14ac:dyDescent="0.25">
      <c r="L1878" s="65">
        <v>426740</v>
      </c>
      <c r="M1878" t="s">
        <v>1601</v>
      </c>
    </row>
    <row r="1879" spans="12:13" x14ac:dyDescent="0.25">
      <c r="L1879" s="65">
        <v>426741</v>
      </c>
      <c r="M1879" t="s">
        <v>1601</v>
      </c>
    </row>
    <row r="1880" spans="12:13" x14ac:dyDescent="0.25">
      <c r="L1880" s="65">
        <v>426750</v>
      </c>
      <c r="M1880" t="s">
        <v>1602</v>
      </c>
    </row>
    <row r="1881" spans="12:13" x14ac:dyDescent="0.25">
      <c r="L1881" s="65">
        <v>426751</v>
      </c>
      <c r="M1881" t="s">
        <v>1602</v>
      </c>
    </row>
    <row r="1882" spans="12:13" x14ac:dyDescent="0.25">
      <c r="L1882" s="65">
        <v>426760</v>
      </c>
      <c r="M1882" t="s">
        <v>1603</v>
      </c>
    </row>
    <row r="1883" spans="12:13" x14ac:dyDescent="0.25">
      <c r="L1883" s="65">
        <v>426761</v>
      </c>
      <c r="M1883" t="s">
        <v>1603</v>
      </c>
    </row>
    <row r="1884" spans="12:13" x14ac:dyDescent="0.25">
      <c r="L1884" s="65">
        <v>426790</v>
      </c>
      <c r="M1884" t="s">
        <v>1604</v>
      </c>
    </row>
    <row r="1885" spans="12:13" x14ac:dyDescent="0.25">
      <c r="L1885" s="65">
        <v>426791</v>
      </c>
      <c r="M1885" t="s">
        <v>1604</v>
      </c>
    </row>
    <row r="1886" spans="12:13" x14ac:dyDescent="0.25">
      <c r="L1886" s="65">
        <v>426800</v>
      </c>
      <c r="M1886" t="s">
        <v>1605</v>
      </c>
    </row>
    <row r="1887" spans="12:13" x14ac:dyDescent="0.25">
      <c r="L1887" s="65">
        <v>426810</v>
      </c>
      <c r="M1887" t="s">
        <v>1606</v>
      </c>
    </row>
    <row r="1888" spans="12:13" x14ac:dyDescent="0.25">
      <c r="L1888" s="65">
        <v>426811</v>
      </c>
      <c r="M1888" t="s">
        <v>1607</v>
      </c>
    </row>
    <row r="1889" spans="12:13" x14ac:dyDescent="0.25">
      <c r="L1889" s="65">
        <v>426812</v>
      </c>
      <c r="M1889" t="s">
        <v>1608</v>
      </c>
    </row>
    <row r="1890" spans="12:13" x14ac:dyDescent="0.25">
      <c r="L1890" s="65">
        <v>426819</v>
      </c>
      <c r="M1890" t="s">
        <v>1609</v>
      </c>
    </row>
    <row r="1891" spans="12:13" x14ac:dyDescent="0.25">
      <c r="L1891" s="65">
        <v>426820</v>
      </c>
      <c r="M1891" t="s">
        <v>1610</v>
      </c>
    </row>
    <row r="1892" spans="12:13" x14ac:dyDescent="0.25">
      <c r="L1892" s="65">
        <v>426821</v>
      </c>
      <c r="M1892" t="s">
        <v>1611</v>
      </c>
    </row>
    <row r="1893" spans="12:13" x14ac:dyDescent="0.25">
      <c r="L1893" s="65">
        <v>426822</v>
      </c>
      <c r="M1893" t="s">
        <v>1612</v>
      </c>
    </row>
    <row r="1894" spans="12:13" x14ac:dyDescent="0.25">
      <c r="L1894" s="65">
        <v>426823</v>
      </c>
      <c r="M1894" t="s">
        <v>1613</v>
      </c>
    </row>
    <row r="1895" spans="12:13" x14ac:dyDescent="0.25">
      <c r="L1895" s="65">
        <v>426829</v>
      </c>
      <c r="M1895" t="s">
        <v>1614</v>
      </c>
    </row>
    <row r="1896" spans="12:13" x14ac:dyDescent="0.25">
      <c r="L1896" s="65">
        <v>426900</v>
      </c>
      <c r="M1896" t="s">
        <v>1615</v>
      </c>
    </row>
    <row r="1897" spans="12:13" x14ac:dyDescent="0.25">
      <c r="L1897" s="65">
        <v>426910</v>
      </c>
      <c r="M1897" t="s">
        <v>1615</v>
      </c>
    </row>
    <row r="1898" spans="12:13" x14ac:dyDescent="0.25">
      <c r="L1898" s="65">
        <v>426911</v>
      </c>
      <c r="M1898" t="s">
        <v>1616</v>
      </c>
    </row>
    <row r="1899" spans="12:13" x14ac:dyDescent="0.25">
      <c r="L1899" s="65">
        <v>426912</v>
      </c>
      <c r="M1899" t="s">
        <v>1617</v>
      </c>
    </row>
    <row r="1900" spans="12:13" x14ac:dyDescent="0.25">
      <c r="L1900" s="65">
        <v>426913</v>
      </c>
      <c r="M1900" t="s">
        <v>1618</v>
      </c>
    </row>
    <row r="1901" spans="12:13" x14ac:dyDescent="0.25">
      <c r="L1901" s="65">
        <v>426914</v>
      </c>
      <c r="M1901" t="s">
        <v>1619</v>
      </c>
    </row>
    <row r="1902" spans="12:13" x14ac:dyDescent="0.25">
      <c r="L1902" s="65">
        <v>426919</v>
      </c>
      <c r="M1902" t="s">
        <v>1620</v>
      </c>
    </row>
    <row r="1903" spans="12:13" x14ac:dyDescent="0.25">
      <c r="L1903" s="65">
        <v>430000</v>
      </c>
      <c r="M1903" t="s">
        <v>1621</v>
      </c>
    </row>
    <row r="1904" spans="12:13" x14ac:dyDescent="0.25">
      <c r="L1904" s="65">
        <v>431000</v>
      </c>
      <c r="M1904" t="s">
        <v>1622</v>
      </c>
    </row>
    <row r="1905" spans="12:13" x14ac:dyDescent="0.25">
      <c r="L1905" s="65">
        <v>431100</v>
      </c>
      <c r="M1905" t="s">
        <v>1623</v>
      </c>
    </row>
    <row r="1906" spans="12:13" x14ac:dyDescent="0.25">
      <c r="L1906" s="65">
        <v>431110</v>
      </c>
      <c r="M1906" t="s">
        <v>1623</v>
      </c>
    </row>
    <row r="1907" spans="12:13" x14ac:dyDescent="0.25">
      <c r="L1907" s="65">
        <v>431111</v>
      </c>
      <c r="M1907" t="s">
        <v>1623</v>
      </c>
    </row>
    <row r="1908" spans="12:13" x14ac:dyDescent="0.25">
      <c r="L1908" s="65">
        <v>431200</v>
      </c>
      <c r="M1908" t="s">
        <v>1624</v>
      </c>
    </row>
    <row r="1909" spans="12:13" x14ac:dyDescent="0.25">
      <c r="L1909" s="65">
        <v>431210</v>
      </c>
      <c r="M1909" t="s">
        <v>1624</v>
      </c>
    </row>
    <row r="1910" spans="12:13" x14ac:dyDescent="0.25">
      <c r="L1910" s="65">
        <v>431211</v>
      </c>
      <c r="M1910" t="s">
        <v>1624</v>
      </c>
    </row>
    <row r="1911" spans="12:13" x14ac:dyDescent="0.25">
      <c r="L1911" s="65">
        <v>431300</v>
      </c>
      <c r="M1911" t="s">
        <v>1625</v>
      </c>
    </row>
    <row r="1912" spans="12:13" x14ac:dyDescent="0.25">
      <c r="L1912" s="65">
        <v>431310</v>
      </c>
      <c r="M1912" t="s">
        <v>1625</v>
      </c>
    </row>
    <row r="1913" spans="12:13" x14ac:dyDescent="0.25">
      <c r="L1913" s="65">
        <v>431311</v>
      </c>
      <c r="M1913" t="s">
        <v>1625</v>
      </c>
    </row>
    <row r="1914" spans="12:13" x14ac:dyDescent="0.25">
      <c r="L1914" s="65">
        <v>432000</v>
      </c>
      <c r="M1914" t="s">
        <v>1626</v>
      </c>
    </row>
    <row r="1915" spans="12:13" x14ac:dyDescent="0.25">
      <c r="L1915" s="65">
        <v>432100</v>
      </c>
      <c r="M1915" t="s">
        <v>1626</v>
      </c>
    </row>
    <row r="1916" spans="12:13" x14ac:dyDescent="0.25">
      <c r="L1916" s="65">
        <v>432110</v>
      </c>
      <c r="M1916" t="s">
        <v>1626</v>
      </c>
    </row>
    <row r="1917" spans="12:13" x14ac:dyDescent="0.25">
      <c r="L1917" s="65">
        <v>432111</v>
      </c>
      <c r="M1917" t="s">
        <v>1626</v>
      </c>
    </row>
    <row r="1918" spans="12:13" x14ac:dyDescent="0.25">
      <c r="L1918" t="s">
        <v>1627</v>
      </c>
      <c r="M1918" t="s">
        <v>1628</v>
      </c>
    </row>
    <row r="1919" spans="12:13" x14ac:dyDescent="0.25">
      <c r="L1919" s="65">
        <v>433100</v>
      </c>
      <c r="M1919" t="s">
        <v>1629</v>
      </c>
    </row>
    <row r="1920" spans="12:13" x14ac:dyDescent="0.25">
      <c r="L1920" s="65">
        <v>433110</v>
      </c>
      <c r="M1920" t="s">
        <v>1629</v>
      </c>
    </row>
    <row r="1921" spans="12:13" x14ac:dyDescent="0.25">
      <c r="L1921" s="65">
        <v>433111</v>
      </c>
      <c r="M1921" t="s">
        <v>1629</v>
      </c>
    </row>
    <row r="1922" spans="12:13" x14ac:dyDescent="0.25">
      <c r="L1922" s="65">
        <v>434000</v>
      </c>
      <c r="M1922" t="s">
        <v>1630</v>
      </c>
    </row>
    <row r="1923" spans="12:13" x14ac:dyDescent="0.25">
      <c r="L1923" s="65">
        <v>434100</v>
      </c>
      <c r="M1923" t="s">
        <v>1631</v>
      </c>
    </row>
    <row r="1924" spans="12:13" x14ac:dyDescent="0.25">
      <c r="L1924" s="65">
        <v>434110</v>
      </c>
      <c r="M1924" t="s">
        <v>1631</v>
      </c>
    </row>
    <row r="1925" spans="12:13" x14ac:dyDescent="0.25">
      <c r="L1925" s="65">
        <v>434111</v>
      </c>
      <c r="M1925" t="s">
        <v>1631</v>
      </c>
    </row>
    <row r="1926" spans="12:13" x14ac:dyDescent="0.25">
      <c r="L1926" s="65">
        <v>434200</v>
      </c>
      <c r="M1926" t="s">
        <v>1632</v>
      </c>
    </row>
    <row r="1927" spans="12:13" x14ac:dyDescent="0.25">
      <c r="L1927" s="65">
        <v>434210</v>
      </c>
      <c r="M1927" t="s">
        <v>1632</v>
      </c>
    </row>
    <row r="1928" spans="12:13" x14ac:dyDescent="0.25">
      <c r="L1928" s="65">
        <v>434211</v>
      </c>
      <c r="M1928" t="s">
        <v>1632</v>
      </c>
    </row>
    <row r="1929" spans="12:13" x14ac:dyDescent="0.25">
      <c r="L1929" s="65">
        <v>434300</v>
      </c>
      <c r="M1929" t="s">
        <v>1633</v>
      </c>
    </row>
    <row r="1930" spans="12:13" x14ac:dyDescent="0.25">
      <c r="L1930" s="65">
        <v>434310</v>
      </c>
      <c r="M1930" t="s">
        <v>1634</v>
      </c>
    </row>
    <row r="1931" spans="12:13" x14ac:dyDescent="0.25">
      <c r="L1931" s="65">
        <v>434311</v>
      </c>
      <c r="M1931" t="s">
        <v>1634</v>
      </c>
    </row>
    <row r="1932" spans="12:13" x14ac:dyDescent="0.25">
      <c r="L1932" s="65">
        <v>434320</v>
      </c>
      <c r="M1932" t="s">
        <v>1635</v>
      </c>
    </row>
    <row r="1933" spans="12:13" x14ac:dyDescent="0.25">
      <c r="L1933" s="65">
        <v>434321</v>
      </c>
      <c r="M1933" t="s">
        <v>1635</v>
      </c>
    </row>
    <row r="1934" spans="12:13" x14ac:dyDescent="0.25">
      <c r="L1934" s="65">
        <v>435000</v>
      </c>
      <c r="M1934" t="s">
        <v>1636</v>
      </c>
    </row>
    <row r="1935" spans="12:13" x14ac:dyDescent="0.25">
      <c r="L1935" s="65">
        <v>435100</v>
      </c>
      <c r="M1935" t="s">
        <v>1636</v>
      </c>
    </row>
    <row r="1936" spans="12:13" x14ac:dyDescent="0.25">
      <c r="L1936" s="65">
        <v>435110</v>
      </c>
      <c r="M1936" t="s">
        <v>1636</v>
      </c>
    </row>
    <row r="1937" spans="12:13" x14ac:dyDescent="0.25">
      <c r="L1937" s="65">
        <v>435111</v>
      </c>
      <c r="M1937" t="s">
        <v>1636</v>
      </c>
    </row>
    <row r="1938" spans="12:13" x14ac:dyDescent="0.25">
      <c r="L1938" s="65">
        <v>440000</v>
      </c>
      <c r="M1938" t="s">
        <v>1637</v>
      </c>
    </row>
    <row r="1939" spans="12:13" x14ac:dyDescent="0.25">
      <c r="L1939" s="65">
        <v>441000</v>
      </c>
      <c r="M1939" t="s">
        <v>1638</v>
      </c>
    </row>
    <row r="1940" spans="12:13" x14ac:dyDescent="0.25">
      <c r="L1940" s="65">
        <v>441100</v>
      </c>
      <c r="M1940" t="s">
        <v>1639</v>
      </c>
    </row>
    <row r="1941" spans="12:13" x14ac:dyDescent="0.25">
      <c r="L1941" s="65">
        <v>441110</v>
      </c>
      <c r="M1941" t="s">
        <v>1640</v>
      </c>
    </row>
    <row r="1942" spans="12:13" x14ac:dyDescent="0.25">
      <c r="L1942" s="65">
        <v>441111</v>
      </c>
      <c r="M1942" t="s">
        <v>1640</v>
      </c>
    </row>
    <row r="1943" spans="12:13" x14ac:dyDescent="0.25">
      <c r="L1943" s="65">
        <v>441120</v>
      </c>
      <c r="M1943" t="s">
        <v>1641</v>
      </c>
    </row>
    <row r="1944" spans="12:13" x14ac:dyDescent="0.25">
      <c r="L1944" s="65">
        <v>441121</v>
      </c>
      <c r="M1944" t="s">
        <v>1641</v>
      </c>
    </row>
    <row r="1945" spans="12:13" x14ac:dyDescent="0.25">
      <c r="L1945" s="65">
        <v>441200</v>
      </c>
      <c r="M1945" t="s">
        <v>1642</v>
      </c>
    </row>
    <row r="1946" spans="12:13" x14ac:dyDescent="0.25">
      <c r="L1946" s="65">
        <v>441210</v>
      </c>
      <c r="M1946" t="s">
        <v>1643</v>
      </c>
    </row>
    <row r="1947" spans="12:13" x14ac:dyDescent="0.25">
      <c r="L1947" s="65">
        <v>441211</v>
      </c>
      <c r="M1947" t="s">
        <v>1643</v>
      </c>
    </row>
    <row r="1948" spans="12:13" x14ac:dyDescent="0.25">
      <c r="L1948" s="65">
        <v>441220</v>
      </c>
      <c r="M1948" t="s">
        <v>1644</v>
      </c>
    </row>
    <row r="1949" spans="12:13" x14ac:dyDescent="0.25">
      <c r="L1949" s="65">
        <v>441221</v>
      </c>
      <c r="M1949" t="s">
        <v>1644</v>
      </c>
    </row>
    <row r="1950" spans="12:13" x14ac:dyDescent="0.25">
      <c r="L1950" s="65">
        <v>441230</v>
      </c>
      <c r="M1950" t="s">
        <v>1645</v>
      </c>
    </row>
    <row r="1951" spans="12:13" x14ac:dyDescent="0.25">
      <c r="L1951" s="65">
        <v>441231</v>
      </c>
      <c r="M1951" t="s">
        <v>1645</v>
      </c>
    </row>
    <row r="1952" spans="12:13" x14ac:dyDescent="0.25">
      <c r="L1952" s="65">
        <v>441240</v>
      </c>
      <c r="M1952" t="s">
        <v>1646</v>
      </c>
    </row>
    <row r="1953" spans="12:13" x14ac:dyDescent="0.25">
      <c r="L1953" s="65">
        <v>441241</v>
      </c>
      <c r="M1953" t="s">
        <v>1646</v>
      </c>
    </row>
    <row r="1954" spans="12:13" x14ac:dyDescent="0.25">
      <c r="L1954" s="65">
        <v>441250</v>
      </c>
      <c r="M1954" t="s">
        <v>1647</v>
      </c>
    </row>
    <row r="1955" spans="12:13" x14ac:dyDescent="0.25">
      <c r="L1955" s="65">
        <v>441251</v>
      </c>
      <c r="M1955" t="s">
        <v>1648</v>
      </c>
    </row>
    <row r="1956" spans="12:13" x14ac:dyDescent="0.25">
      <c r="L1956" s="65">
        <v>441252</v>
      </c>
      <c r="M1956" t="s">
        <v>1649</v>
      </c>
    </row>
    <row r="1957" spans="12:13" x14ac:dyDescent="0.25">
      <c r="L1957" s="65">
        <v>441255</v>
      </c>
      <c r="M1957" t="s">
        <v>1650</v>
      </c>
    </row>
    <row r="1958" spans="12:13" x14ac:dyDescent="0.25">
      <c r="L1958" s="65">
        <v>441300</v>
      </c>
      <c r="M1958" t="s">
        <v>1651</v>
      </c>
    </row>
    <row r="1959" spans="12:13" x14ac:dyDescent="0.25">
      <c r="L1959" s="65">
        <v>441310</v>
      </c>
      <c r="M1959" t="s">
        <v>1652</v>
      </c>
    </row>
    <row r="1960" spans="12:13" x14ac:dyDescent="0.25">
      <c r="L1960" s="65">
        <v>441311</v>
      </c>
      <c r="M1960" t="s">
        <v>1652</v>
      </c>
    </row>
    <row r="1961" spans="12:13" x14ac:dyDescent="0.25">
      <c r="L1961" s="65">
        <v>441390</v>
      </c>
      <c r="M1961" t="s">
        <v>1653</v>
      </c>
    </row>
    <row r="1962" spans="12:13" x14ac:dyDescent="0.25">
      <c r="L1962" s="65">
        <v>441391</v>
      </c>
      <c r="M1962" t="s">
        <v>1653</v>
      </c>
    </row>
    <row r="1963" spans="12:13" x14ac:dyDescent="0.25">
      <c r="L1963" s="65">
        <v>441400</v>
      </c>
      <c r="M1963" t="s">
        <v>1654</v>
      </c>
    </row>
    <row r="1964" spans="12:13" x14ac:dyDescent="0.25">
      <c r="L1964" s="65">
        <v>441410</v>
      </c>
      <c r="M1964" t="s">
        <v>1654</v>
      </c>
    </row>
    <row r="1965" spans="12:13" x14ac:dyDescent="0.25">
      <c r="L1965" s="65">
        <v>441411</v>
      </c>
      <c r="M1965" t="s">
        <v>1654</v>
      </c>
    </row>
    <row r="1966" spans="12:13" x14ac:dyDescent="0.25">
      <c r="L1966" s="65">
        <v>441500</v>
      </c>
      <c r="M1966" t="s">
        <v>1655</v>
      </c>
    </row>
    <row r="1967" spans="12:13" x14ac:dyDescent="0.25">
      <c r="L1967" s="65">
        <v>441510</v>
      </c>
      <c r="M1967" t="s">
        <v>1655</v>
      </c>
    </row>
    <row r="1968" spans="12:13" x14ac:dyDescent="0.25">
      <c r="L1968" s="65">
        <v>441511</v>
      </c>
      <c r="M1968" t="s">
        <v>1655</v>
      </c>
    </row>
    <row r="1969" spans="12:13" x14ac:dyDescent="0.25">
      <c r="L1969" s="65">
        <v>441600</v>
      </c>
      <c r="M1969" t="s">
        <v>1656</v>
      </c>
    </row>
    <row r="1970" spans="12:13" x14ac:dyDescent="0.25">
      <c r="L1970" s="65">
        <v>441610</v>
      </c>
      <c r="M1970" t="s">
        <v>1656</v>
      </c>
    </row>
    <row r="1971" spans="12:13" x14ac:dyDescent="0.25">
      <c r="L1971" s="65">
        <v>441611</v>
      </c>
      <c r="M1971" t="s">
        <v>1656</v>
      </c>
    </row>
    <row r="1972" spans="12:13" x14ac:dyDescent="0.25">
      <c r="L1972" s="65">
        <v>441700</v>
      </c>
      <c r="M1972" t="s">
        <v>1657</v>
      </c>
    </row>
    <row r="1973" spans="12:13" x14ac:dyDescent="0.25">
      <c r="L1973" s="65">
        <v>441710</v>
      </c>
      <c r="M1973" t="s">
        <v>1657</v>
      </c>
    </row>
    <row r="1974" spans="12:13" x14ac:dyDescent="0.25">
      <c r="L1974" s="65">
        <v>441711</v>
      </c>
      <c r="M1974" t="s">
        <v>1657</v>
      </c>
    </row>
    <row r="1975" spans="12:13" x14ac:dyDescent="0.25">
      <c r="L1975" s="65">
        <v>441800</v>
      </c>
      <c r="M1975" t="s">
        <v>1658</v>
      </c>
    </row>
    <row r="1976" spans="12:13" x14ac:dyDescent="0.25">
      <c r="L1976" s="65">
        <v>441810</v>
      </c>
      <c r="M1976" t="s">
        <v>1658</v>
      </c>
    </row>
    <row r="1977" spans="12:13" x14ac:dyDescent="0.25">
      <c r="L1977" s="65">
        <v>441811</v>
      </c>
      <c r="M1977" t="s">
        <v>1658</v>
      </c>
    </row>
    <row r="1978" spans="12:13" x14ac:dyDescent="0.25">
      <c r="L1978" s="65">
        <v>441900</v>
      </c>
      <c r="M1978" t="s">
        <v>1659</v>
      </c>
    </row>
    <row r="1979" spans="12:13" x14ac:dyDescent="0.25">
      <c r="L1979" s="65">
        <v>441910</v>
      </c>
      <c r="M1979" t="s">
        <v>1659</v>
      </c>
    </row>
    <row r="1980" spans="12:13" x14ac:dyDescent="0.25">
      <c r="L1980" s="65">
        <v>441911</v>
      </c>
      <c r="M1980" t="s">
        <v>1660</v>
      </c>
    </row>
    <row r="1981" spans="12:13" x14ac:dyDescent="0.25">
      <c r="L1981" s="65">
        <v>442000</v>
      </c>
      <c r="M1981" t="s">
        <v>1661</v>
      </c>
    </row>
    <row r="1982" spans="12:13" x14ac:dyDescent="0.25">
      <c r="L1982" s="65">
        <v>442100</v>
      </c>
      <c r="M1982" t="s">
        <v>1662</v>
      </c>
    </row>
    <row r="1983" spans="12:13" x14ac:dyDescent="0.25">
      <c r="L1983" s="65">
        <v>442110</v>
      </c>
      <c r="M1983" t="s">
        <v>1663</v>
      </c>
    </row>
    <row r="1984" spans="12:13" x14ac:dyDescent="0.25">
      <c r="L1984" s="65">
        <v>442111</v>
      </c>
      <c r="M1984" t="s">
        <v>1663</v>
      </c>
    </row>
    <row r="1985" spans="12:13" x14ac:dyDescent="0.25">
      <c r="L1985" s="65">
        <v>442120</v>
      </c>
      <c r="M1985" t="s">
        <v>1664</v>
      </c>
    </row>
    <row r="1986" spans="12:13" x14ac:dyDescent="0.25">
      <c r="L1986" s="65">
        <v>442121</v>
      </c>
      <c r="M1986" t="s">
        <v>1665</v>
      </c>
    </row>
    <row r="1987" spans="12:13" x14ac:dyDescent="0.25">
      <c r="L1987" s="65">
        <v>442200</v>
      </c>
      <c r="M1987" t="s">
        <v>1666</v>
      </c>
    </row>
    <row r="1988" spans="12:13" x14ac:dyDescent="0.25">
      <c r="L1988" s="65">
        <v>442210</v>
      </c>
      <c r="M1988" t="s">
        <v>1667</v>
      </c>
    </row>
    <row r="1989" spans="12:13" x14ac:dyDescent="0.25">
      <c r="L1989" s="65">
        <v>442211</v>
      </c>
      <c r="M1989" t="s">
        <v>1667</v>
      </c>
    </row>
    <row r="1990" spans="12:13" x14ac:dyDescent="0.25">
      <c r="L1990" s="65">
        <v>442220</v>
      </c>
      <c r="M1990" t="s">
        <v>1668</v>
      </c>
    </row>
    <row r="1991" spans="12:13" x14ac:dyDescent="0.25">
      <c r="L1991" s="65">
        <v>442221</v>
      </c>
      <c r="M1991" t="s">
        <v>1668</v>
      </c>
    </row>
    <row r="1992" spans="12:13" x14ac:dyDescent="0.25">
      <c r="L1992" s="65">
        <v>442290</v>
      </c>
      <c r="M1992" t="s">
        <v>1669</v>
      </c>
    </row>
    <row r="1993" spans="12:13" x14ac:dyDescent="0.25">
      <c r="L1993" s="65">
        <v>442291</v>
      </c>
      <c r="M1993" t="s">
        <v>1669</v>
      </c>
    </row>
    <row r="1994" spans="12:13" x14ac:dyDescent="0.25">
      <c r="L1994" s="65">
        <v>442300</v>
      </c>
      <c r="M1994" t="s">
        <v>1670</v>
      </c>
    </row>
    <row r="1995" spans="12:13" x14ac:dyDescent="0.25">
      <c r="L1995" s="65">
        <v>442310</v>
      </c>
      <c r="M1995" t="s">
        <v>1671</v>
      </c>
    </row>
    <row r="1996" spans="12:13" x14ac:dyDescent="0.25">
      <c r="L1996" s="65">
        <v>442311</v>
      </c>
      <c r="M1996" t="s">
        <v>1671</v>
      </c>
    </row>
    <row r="1997" spans="12:13" x14ac:dyDescent="0.25">
      <c r="L1997" s="65">
        <v>442320</v>
      </c>
      <c r="M1997" t="s">
        <v>1672</v>
      </c>
    </row>
    <row r="1998" spans="12:13" x14ac:dyDescent="0.25">
      <c r="L1998" s="65">
        <v>442321</v>
      </c>
      <c r="M1998" t="s">
        <v>1672</v>
      </c>
    </row>
    <row r="1999" spans="12:13" x14ac:dyDescent="0.25">
      <c r="L1999" s="65">
        <v>442330</v>
      </c>
      <c r="M1999" t="s">
        <v>1673</v>
      </c>
    </row>
    <row r="2000" spans="12:13" x14ac:dyDescent="0.25">
      <c r="L2000" s="65">
        <v>442331</v>
      </c>
      <c r="M2000" t="s">
        <v>1673</v>
      </c>
    </row>
    <row r="2001" spans="12:13" x14ac:dyDescent="0.25">
      <c r="L2001" s="65">
        <v>442340</v>
      </c>
      <c r="M2001" t="s">
        <v>1674</v>
      </c>
    </row>
    <row r="2002" spans="12:13" x14ac:dyDescent="0.25">
      <c r="L2002" s="65">
        <v>442341</v>
      </c>
      <c r="M2002" t="s">
        <v>1674</v>
      </c>
    </row>
    <row r="2003" spans="12:13" x14ac:dyDescent="0.25">
      <c r="L2003" s="65">
        <v>442350</v>
      </c>
      <c r="M2003" t="s">
        <v>1675</v>
      </c>
    </row>
    <row r="2004" spans="12:13" x14ac:dyDescent="0.25">
      <c r="L2004" s="65">
        <v>442351</v>
      </c>
      <c r="M2004" t="s">
        <v>1675</v>
      </c>
    </row>
    <row r="2005" spans="12:13" x14ac:dyDescent="0.25">
      <c r="L2005" s="65">
        <v>442390</v>
      </c>
      <c r="M2005" t="s">
        <v>1676</v>
      </c>
    </row>
    <row r="2006" spans="12:13" x14ac:dyDescent="0.25">
      <c r="L2006" s="65">
        <v>442391</v>
      </c>
      <c r="M2006" t="s">
        <v>1676</v>
      </c>
    </row>
    <row r="2007" spans="12:13" x14ac:dyDescent="0.25">
      <c r="L2007" s="65">
        <v>442400</v>
      </c>
      <c r="M2007" t="s">
        <v>1677</v>
      </c>
    </row>
    <row r="2008" spans="12:13" x14ac:dyDescent="0.25">
      <c r="L2008" s="65">
        <v>442410</v>
      </c>
      <c r="M2008" t="s">
        <v>1678</v>
      </c>
    </row>
    <row r="2009" spans="12:13" x14ac:dyDescent="0.25">
      <c r="L2009" s="65">
        <v>442411</v>
      </c>
      <c r="M2009" t="s">
        <v>1678</v>
      </c>
    </row>
    <row r="2010" spans="12:13" x14ac:dyDescent="0.25">
      <c r="L2010" s="65">
        <v>442490</v>
      </c>
      <c r="M2010" t="s">
        <v>1679</v>
      </c>
    </row>
    <row r="2011" spans="12:13" x14ac:dyDescent="0.25">
      <c r="L2011" s="65">
        <v>442491</v>
      </c>
      <c r="M2011" t="s">
        <v>1679</v>
      </c>
    </row>
    <row r="2012" spans="12:13" x14ac:dyDescent="0.25">
      <c r="L2012" s="65">
        <v>442500</v>
      </c>
      <c r="M2012" t="s">
        <v>1680</v>
      </c>
    </row>
    <row r="2013" spans="12:13" x14ac:dyDescent="0.25">
      <c r="L2013" s="65">
        <v>442510</v>
      </c>
      <c r="M2013" t="s">
        <v>1680</v>
      </c>
    </row>
    <row r="2014" spans="12:13" x14ac:dyDescent="0.25">
      <c r="L2014" s="65">
        <v>442511</v>
      </c>
      <c r="M2014" t="s">
        <v>1680</v>
      </c>
    </row>
    <row r="2015" spans="12:13" x14ac:dyDescent="0.25">
      <c r="L2015" s="65">
        <v>442600</v>
      </c>
      <c r="M2015" t="s">
        <v>1681</v>
      </c>
    </row>
    <row r="2016" spans="12:13" x14ac:dyDescent="0.25">
      <c r="L2016" s="65">
        <v>442610</v>
      </c>
      <c r="M2016" t="s">
        <v>1681</v>
      </c>
    </row>
    <row r="2017" spans="12:13" x14ac:dyDescent="0.25">
      <c r="L2017" s="65">
        <v>442611</v>
      </c>
      <c r="M2017" t="s">
        <v>1681</v>
      </c>
    </row>
    <row r="2018" spans="12:13" x14ac:dyDescent="0.25">
      <c r="L2018" s="65">
        <v>443000</v>
      </c>
      <c r="M2018" t="s">
        <v>1682</v>
      </c>
    </row>
    <row r="2019" spans="12:13" x14ac:dyDescent="0.25">
      <c r="L2019" s="65">
        <v>443100</v>
      </c>
      <c r="M2019" t="s">
        <v>1682</v>
      </c>
    </row>
    <row r="2020" spans="12:13" x14ac:dyDescent="0.25">
      <c r="L2020" s="65">
        <v>443110</v>
      </c>
      <c r="M2020" t="s">
        <v>1682</v>
      </c>
    </row>
    <row r="2021" spans="12:13" x14ac:dyDescent="0.25">
      <c r="L2021" s="65">
        <v>443111</v>
      </c>
      <c r="M2021" t="s">
        <v>1682</v>
      </c>
    </row>
    <row r="2022" spans="12:13" x14ac:dyDescent="0.25">
      <c r="L2022" s="65">
        <v>444000</v>
      </c>
      <c r="M2022" t="s">
        <v>1683</v>
      </c>
    </row>
    <row r="2023" spans="12:13" x14ac:dyDescent="0.25">
      <c r="L2023" s="65">
        <v>444100</v>
      </c>
      <c r="M2023" t="s">
        <v>1684</v>
      </c>
    </row>
    <row r="2024" spans="12:13" x14ac:dyDescent="0.25">
      <c r="L2024" s="65">
        <v>444110</v>
      </c>
      <c r="M2024" t="s">
        <v>1684</v>
      </c>
    </row>
    <row r="2025" spans="12:13" x14ac:dyDescent="0.25">
      <c r="L2025" s="65">
        <v>444111</v>
      </c>
      <c r="M2025" t="s">
        <v>1684</v>
      </c>
    </row>
    <row r="2026" spans="12:13" x14ac:dyDescent="0.25">
      <c r="L2026" s="65">
        <v>444200</v>
      </c>
      <c r="M2026" t="s">
        <v>1685</v>
      </c>
    </row>
    <row r="2027" spans="12:13" x14ac:dyDescent="0.25">
      <c r="L2027" s="65">
        <v>444210</v>
      </c>
      <c r="M2027" t="s">
        <v>1685</v>
      </c>
    </row>
    <row r="2028" spans="12:13" x14ac:dyDescent="0.25">
      <c r="L2028" s="65">
        <v>444211</v>
      </c>
      <c r="M2028" t="s">
        <v>1685</v>
      </c>
    </row>
    <row r="2029" spans="12:13" x14ac:dyDescent="0.25">
      <c r="L2029" s="65">
        <v>444212</v>
      </c>
      <c r="M2029" t="s">
        <v>1686</v>
      </c>
    </row>
    <row r="2030" spans="12:13" x14ac:dyDescent="0.25">
      <c r="L2030" s="65">
        <v>444219</v>
      </c>
      <c r="M2030" t="s">
        <v>1687</v>
      </c>
    </row>
    <row r="2031" spans="12:13" x14ac:dyDescent="0.25">
      <c r="L2031" s="65">
        <v>444300</v>
      </c>
      <c r="M2031" t="s">
        <v>1688</v>
      </c>
    </row>
    <row r="2032" spans="12:13" x14ac:dyDescent="0.25">
      <c r="L2032" s="65">
        <v>444310</v>
      </c>
      <c r="M2032" t="s">
        <v>1688</v>
      </c>
    </row>
    <row r="2033" spans="12:13" x14ac:dyDescent="0.25">
      <c r="L2033" s="65">
        <v>444311</v>
      </c>
      <c r="M2033" t="s">
        <v>1688</v>
      </c>
    </row>
    <row r="2034" spans="12:13" x14ac:dyDescent="0.25">
      <c r="L2034" s="65">
        <v>450000</v>
      </c>
      <c r="M2034" t="s">
        <v>1689</v>
      </c>
    </row>
    <row r="2035" spans="12:13" x14ac:dyDescent="0.25">
      <c r="L2035" s="65">
        <v>451000</v>
      </c>
      <c r="M2035" t="s">
        <v>1690</v>
      </c>
    </row>
    <row r="2036" spans="12:13" x14ac:dyDescent="0.25">
      <c r="L2036" s="65">
        <v>451100</v>
      </c>
      <c r="M2036" t="s">
        <v>1691</v>
      </c>
    </row>
    <row r="2037" spans="12:13" x14ac:dyDescent="0.25">
      <c r="L2037" s="65">
        <v>451110</v>
      </c>
      <c r="M2037" t="s">
        <v>1692</v>
      </c>
    </row>
    <row r="2038" spans="12:13" x14ac:dyDescent="0.25">
      <c r="L2038" s="65">
        <v>451111</v>
      </c>
      <c r="M2038" t="s">
        <v>1692</v>
      </c>
    </row>
    <row r="2039" spans="12:13" x14ac:dyDescent="0.25">
      <c r="L2039" s="65">
        <v>451120</v>
      </c>
      <c r="M2039" t="s">
        <v>1693</v>
      </c>
    </row>
    <row r="2040" spans="12:13" x14ac:dyDescent="0.25">
      <c r="L2040" s="65">
        <v>451121</v>
      </c>
      <c r="M2040" t="s">
        <v>1694</v>
      </c>
    </row>
    <row r="2041" spans="12:13" x14ac:dyDescent="0.25">
      <c r="L2041" s="65">
        <v>451122</v>
      </c>
      <c r="M2041" t="s">
        <v>1695</v>
      </c>
    </row>
    <row r="2042" spans="12:13" x14ac:dyDescent="0.25">
      <c r="L2042" s="65">
        <v>451129</v>
      </c>
      <c r="M2042" t="s">
        <v>1696</v>
      </c>
    </row>
    <row r="2043" spans="12:13" x14ac:dyDescent="0.25">
      <c r="L2043" s="65">
        <v>451130</v>
      </c>
      <c r="M2043" t="s">
        <v>1697</v>
      </c>
    </row>
    <row r="2044" spans="12:13" x14ac:dyDescent="0.25">
      <c r="L2044" s="65">
        <v>451131</v>
      </c>
      <c r="M2044" t="s">
        <v>1697</v>
      </c>
    </row>
    <row r="2045" spans="12:13" x14ac:dyDescent="0.25">
      <c r="L2045" s="65">
        <v>451140</v>
      </c>
      <c r="M2045" t="s">
        <v>1698</v>
      </c>
    </row>
    <row r="2046" spans="12:13" x14ac:dyDescent="0.25">
      <c r="L2046" s="65">
        <v>451141</v>
      </c>
      <c r="M2046" t="s">
        <v>1698</v>
      </c>
    </row>
    <row r="2047" spans="12:13" x14ac:dyDescent="0.25">
      <c r="L2047" s="65">
        <v>451190</v>
      </c>
      <c r="M2047" t="s">
        <v>1699</v>
      </c>
    </row>
    <row r="2048" spans="12:13" x14ac:dyDescent="0.25">
      <c r="L2048" s="65">
        <v>451191</v>
      </c>
      <c r="M2048" t="s">
        <v>1699</v>
      </c>
    </row>
    <row r="2049" spans="12:13" x14ac:dyDescent="0.25">
      <c r="L2049" s="65">
        <v>451200</v>
      </c>
      <c r="M2049" t="s">
        <v>1700</v>
      </c>
    </row>
    <row r="2050" spans="12:13" x14ac:dyDescent="0.25">
      <c r="L2050" s="65">
        <v>451210</v>
      </c>
      <c r="M2050" t="s">
        <v>1701</v>
      </c>
    </row>
    <row r="2051" spans="12:13" x14ac:dyDescent="0.25">
      <c r="L2051" s="65">
        <v>451211</v>
      </c>
      <c r="M2051" t="s">
        <v>1701</v>
      </c>
    </row>
    <row r="2052" spans="12:13" x14ac:dyDescent="0.25">
      <c r="L2052" s="65">
        <v>451220</v>
      </c>
      <c r="M2052" t="s">
        <v>1702</v>
      </c>
    </row>
    <row r="2053" spans="12:13" x14ac:dyDescent="0.25">
      <c r="L2053" s="65">
        <v>451221</v>
      </c>
      <c r="M2053" t="s">
        <v>1703</v>
      </c>
    </row>
    <row r="2054" spans="12:13" x14ac:dyDescent="0.25">
      <c r="L2054" s="65">
        <v>451230</v>
      </c>
      <c r="M2054" t="s">
        <v>1704</v>
      </c>
    </row>
    <row r="2055" spans="12:13" x14ac:dyDescent="0.25">
      <c r="L2055" s="65">
        <v>451231</v>
      </c>
      <c r="M2055" t="s">
        <v>1704</v>
      </c>
    </row>
    <row r="2056" spans="12:13" x14ac:dyDescent="0.25">
      <c r="L2056" s="65">
        <v>451240</v>
      </c>
      <c r="M2056" t="s">
        <v>1705</v>
      </c>
    </row>
    <row r="2057" spans="12:13" x14ac:dyDescent="0.25">
      <c r="L2057" s="65">
        <v>451241</v>
      </c>
      <c r="M2057" t="s">
        <v>1705</v>
      </c>
    </row>
    <row r="2058" spans="12:13" x14ac:dyDescent="0.25">
      <c r="L2058" s="65">
        <v>451290</v>
      </c>
      <c r="M2058" t="s">
        <v>1706</v>
      </c>
    </row>
    <row r="2059" spans="12:13" x14ac:dyDescent="0.25">
      <c r="L2059" s="65">
        <v>451291</v>
      </c>
      <c r="M2059" t="s">
        <v>1706</v>
      </c>
    </row>
    <row r="2060" spans="12:13" x14ac:dyDescent="0.25">
      <c r="L2060" s="65">
        <v>452000</v>
      </c>
      <c r="M2060" t="s">
        <v>1707</v>
      </c>
    </row>
    <row r="2061" spans="12:13" x14ac:dyDescent="0.25">
      <c r="L2061" s="65">
        <v>452100</v>
      </c>
      <c r="M2061" t="s">
        <v>1708</v>
      </c>
    </row>
    <row r="2062" spans="12:13" x14ac:dyDescent="0.25">
      <c r="L2062" s="65">
        <v>452110</v>
      </c>
      <c r="M2062" t="s">
        <v>1709</v>
      </c>
    </row>
    <row r="2063" spans="12:13" x14ac:dyDescent="0.25">
      <c r="L2063" s="65">
        <v>452111</v>
      </c>
      <c r="M2063" t="s">
        <v>1709</v>
      </c>
    </row>
    <row r="2064" spans="12:13" x14ac:dyDescent="0.25">
      <c r="L2064" s="65">
        <v>452190</v>
      </c>
      <c r="M2064" t="s">
        <v>1710</v>
      </c>
    </row>
    <row r="2065" spans="12:13" x14ac:dyDescent="0.25">
      <c r="L2065" s="65">
        <v>452191</v>
      </c>
      <c r="M2065" t="s">
        <v>1710</v>
      </c>
    </row>
    <row r="2066" spans="12:13" x14ac:dyDescent="0.25">
      <c r="L2066" s="65">
        <v>452200</v>
      </c>
      <c r="M2066" t="s">
        <v>1711</v>
      </c>
    </row>
    <row r="2067" spans="12:13" x14ac:dyDescent="0.25">
      <c r="L2067" s="65">
        <v>452210</v>
      </c>
      <c r="M2067" t="s">
        <v>1712</v>
      </c>
    </row>
    <row r="2068" spans="12:13" x14ac:dyDescent="0.25">
      <c r="L2068" s="65">
        <v>452211</v>
      </c>
      <c r="M2068" t="s">
        <v>1712</v>
      </c>
    </row>
    <row r="2069" spans="12:13" x14ac:dyDescent="0.25">
      <c r="L2069" s="65">
        <v>452290</v>
      </c>
      <c r="M2069" t="s">
        <v>1713</v>
      </c>
    </row>
    <row r="2070" spans="12:13" x14ac:dyDescent="0.25">
      <c r="L2070" s="65">
        <v>452291</v>
      </c>
      <c r="M2070" t="s">
        <v>1713</v>
      </c>
    </row>
    <row r="2071" spans="12:13" x14ac:dyDescent="0.25">
      <c r="L2071" s="65">
        <v>453000</v>
      </c>
      <c r="M2071" t="s">
        <v>1714</v>
      </c>
    </row>
    <row r="2072" spans="12:13" x14ac:dyDescent="0.25">
      <c r="L2072" s="65">
        <v>453100</v>
      </c>
      <c r="M2072" t="s">
        <v>1715</v>
      </c>
    </row>
    <row r="2073" spans="12:13" x14ac:dyDescent="0.25">
      <c r="L2073" s="65">
        <v>453110</v>
      </c>
      <c r="M2073" t="s">
        <v>1716</v>
      </c>
    </row>
    <row r="2074" spans="12:13" x14ac:dyDescent="0.25">
      <c r="L2074" s="65">
        <v>453111</v>
      </c>
      <c r="M2074" t="s">
        <v>1717</v>
      </c>
    </row>
    <row r="2075" spans="12:13" x14ac:dyDescent="0.25">
      <c r="L2075" s="65">
        <v>453190</v>
      </c>
      <c r="M2075" t="s">
        <v>1718</v>
      </c>
    </row>
    <row r="2076" spans="12:13" x14ac:dyDescent="0.25">
      <c r="L2076" s="65">
        <v>453191</v>
      </c>
      <c r="M2076" t="s">
        <v>1718</v>
      </c>
    </row>
    <row r="2077" spans="12:13" x14ac:dyDescent="0.25">
      <c r="L2077" s="65">
        <v>453200</v>
      </c>
      <c r="M2077" t="s">
        <v>1719</v>
      </c>
    </row>
    <row r="2078" spans="12:13" x14ac:dyDescent="0.25">
      <c r="L2078" s="65">
        <v>453210</v>
      </c>
      <c r="M2078" t="s">
        <v>1720</v>
      </c>
    </row>
    <row r="2079" spans="12:13" x14ac:dyDescent="0.25">
      <c r="L2079" s="65">
        <v>453211</v>
      </c>
      <c r="M2079" t="s">
        <v>1720</v>
      </c>
    </row>
    <row r="2080" spans="12:13" x14ac:dyDescent="0.25">
      <c r="L2080" s="65">
        <v>453290</v>
      </c>
      <c r="M2080" t="s">
        <v>1721</v>
      </c>
    </row>
    <row r="2081" spans="12:13" x14ac:dyDescent="0.25">
      <c r="L2081" s="65">
        <v>453291</v>
      </c>
      <c r="M2081" t="s">
        <v>1721</v>
      </c>
    </row>
    <row r="2082" spans="12:13" x14ac:dyDescent="0.25">
      <c r="L2082" s="65">
        <v>454000</v>
      </c>
      <c r="M2082" t="s">
        <v>1722</v>
      </c>
    </row>
    <row r="2083" spans="12:13" x14ac:dyDescent="0.25">
      <c r="L2083" s="65">
        <v>454100</v>
      </c>
      <c r="M2083" t="s">
        <v>1723</v>
      </c>
    </row>
    <row r="2084" spans="12:13" x14ac:dyDescent="0.25">
      <c r="L2084" s="65">
        <v>454110</v>
      </c>
      <c r="M2084" t="s">
        <v>1723</v>
      </c>
    </row>
    <row r="2085" spans="12:13" x14ac:dyDescent="0.25">
      <c r="L2085" s="65">
        <v>454111</v>
      </c>
      <c r="M2085" t="s">
        <v>1723</v>
      </c>
    </row>
    <row r="2086" spans="12:13" x14ac:dyDescent="0.25">
      <c r="L2086" s="65">
        <v>454200</v>
      </c>
      <c r="M2086" t="s">
        <v>1724</v>
      </c>
    </row>
    <row r="2087" spans="12:13" x14ac:dyDescent="0.25">
      <c r="L2087" s="65">
        <v>454210</v>
      </c>
      <c r="M2087" t="s">
        <v>1724</v>
      </c>
    </row>
    <row r="2088" spans="12:13" x14ac:dyDescent="0.25">
      <c r="L2088" s="65">
        <v>454211</v>
      </c>
      <c r="M2088" t="s">
        <v>1724</v>
      </c>
    </row>
    <row r="2089" spans="12:13" x14ac:dyDescent="0.25">
      <c r="L2089" s="65">
        <v>460000</v>
      </c>
      <c r="M2089" t="s">
        <v>1725</v>
      </c>
    </row>
    <row r="2090" spans="12:13" x14ac:dyDescent="0.25">
      <c r="L2090" s="65">
        <v>461000</v>
      </c>
      <c r="M2090" t="s">
        <v>1726</v>
      </c>
    </row>
    <row r="2091" spans="12:13" x14ac:dyDescent="0.25">
      <c r="L2091" s="65">
        <v>461100</v>
      </c>
      <c r="M2091" t="s">
        <v>1727</v>
      </c>
    </row>
    <row r="2092" spans="12:13" x14ac:dyDescent="0.25">
      <c r="L2092" s="65">
        <v>461110</v>
      </c>
      <c r="M2092" t="s">
        <v>1727</v>
      </c>
    </row>
    <row r="2093" spans="12:13" x14ac:dyDescent="0.25">
      <c r="L2093" s="65">
        <v>461111</v>
      </c>
      <c r="M2093" t="s">
        <v>1727</v>
      </c>
    </row>
    <row r="2094" spans="12:13" x14ac:dyDescent="0.25">
      <c r="L2094" s="65">
        <v>461200</v>
      </c>
      <c r="M2094" t="s">
        <v>1728</v>
      </c>
    </row>
    <row r="2095" spans="12:13" x14ac:dyDescent="0.25">
      <c r="L2095" s="65">
        <v>461210</v>
      </c>
      <c r="M2095" t="s">
        <v>1728</v>
      </c>
    </row>
    <row r="2096" spans="12:13" x14ac:dyDescent="0.25">
      <c r="L2096" s="65">
        <v>461211</v>
      </c>
      <c r="M2096" t="s">
        <v>1728</v>
      </c>
    </row>
    <row r="2097" spans="12:13" x14ac:dyDescent="0.25">
      <c r="L2097" s="65">
        <v>462000</v>
      </c>
      <c r="M2097" t="s">
        <v>1729</v>
      </c>
    </row>
    <row r="2098" spans="12:13" x14ac:dyDescent="0.25">
      <c r="L2098" s="65">
        <v>462100</v>
      </c>
      <c r="M2098" t="s">
        <v>1730</v>
      </c>
    </row>
    <row r="2099" spans="12:13" x14ac:dyDescent="0.25">
      <c r="L2099" s="65">
        <v>462110</v>
      </c>
      <c r="M2099" t="s">
        <v>1731</v>
      </c>
    </row>
    <row r="2100" spans="12:13" x14ac:dyDescent="0.25">
      <c r="L2100" s="65">
        <v>462111</v>
      </c>
      <c r="M2100" t="s">
        <v>1731</v>
      </c>
    </row>
    <row r="2101" spans="12:13" x14ac:dyDescent="0.25">
      <c r="L2101" s="65">
        <v>462120</v>
      </c>
      <c r="M2101" t="s">
        <v>1732</v>
      </c>
    </row>
    <row r="2102" spans="12:13" x14ac:dyDescent="0.25">
      <c r="L2102" s="65">
        <v>462121</v>
      </c>
      <c r="M2102" t="s">
        <v>1732</v>
      </c>
    </row>
    <row r="2103" spans="12:13" x14ac:dyDescent="0.25">
      <c r="L2103" s="65">
        <v>462190</v>
      </c>
      <c r="M2103" t="s">
        <v>1733</v>
      </c>
    </row>
    <row r="2104" spans="12:13" x14ac:dyDescent="0.25">
      <c r="L2104" s="65">
        <v>462191</v>
      </c>
      <c r="M2104" t="s">
        <v>1734</v>
      </c>
    </row>
    <row r="2105" spans="12:13" x14ac:dyDescent="0.25">
      <c r="L2105" s="65">
        <v>462200</v>
      </c>
      <c r="M2105" t="s">
        <v>1735</v>
      </c>
    </row>
    <row r="2106" spans="12:13" x14ac:dyDescent="0.25">
      <c r="L2106" s="65">
        <v>462210</v>
      </c>
      <c r="M2106" t="s">
        <v>1736</v>
      </c>
    </row>
    <row r="2107" spans="12:13" x14ac:dyDescent="0.25">
      <c r="L2107" s="65">
        <v>462211</v>
      </c>
      <c r="M2107" t="s">
        <v>1736</v>
      </c>
    </row>
    <row r="2108" spans="12:13" x14ac:dyDescent="0.25">
      <c r="L2108" s="65">
        <v>462290</v>
      </c>
      <c r="M2108" t="s">
        <v>1737</v>
      </c>
    </row>
    <row r="2109" spans="12:13" x14ac:dyDescent="0.25">
      <c r="L2109" s="65">
        <v>462291</v>
      </c>
      <c r="M2109" t="s">
        <v>1737</v>
      </c>
    </row>
    <row r="2110" spans="12:13" x14ac:dyDescent="0.25">
      <c r="L2110" s="65">
        <v>463000</v>
      </c>
      <c r="M2110" t="s">
        <v>1738</v>
      </c>
    </row>
    <row r="2111" spans="12:13" x14ac:dyDescent="0.25">
      <c r="L2111" s="65">
        <v>463100</v>
      </c>
      <c r="M2111" t="s">
        <v>1739</v>
      </c>
    </row>
    <row r="2112" spans="12:13" x14ac:dyDescent="0.25">
      <c r="L2112" s="65">
        <v>463110</v>
      </c>
      <c r="M2112" t="s">
        <v>1740</v>
      </c>
    </row>
    <row r="2113" spans="12:13" x14ac:dyDescent="0.25">
      <c r="L2113" s="65">
        <v>463111</v>
      </c>
      <c r="M2113" t="s">
        <v>1740</v>
      </c>
    </row>
    <row r="2114" spans="12:13" x14ac:dyDescent="0.25">
      <c r="L2114" s="65">
        <v>463120</v>
      </c>
      <c r="M2114" t="s">
        <v>1741</v>
      </c>
    </row>
    <row r="2115" spans="12:13" x14ac:dyDescent="0.25">
      <c r="L2115" s="65">
        <v>463121</v>
      </c>
      <c r="M2115" t="s">
        <v>1742</v>
      </c>
    </row>
    <row r="2116" spans="12:13" x14ac:dyDescent="0.25">
      <c r="L2116" s="65">
        <v>463122</v>
      </c>
      <c r="M2116" t="s">
        <v>1743</v>
      </c>
    </row>
    <row r="2117" spans="12:13" x14ac:dyDescent="0.25">
      <c r="L2117" s="65">
        <v>463130</v>
      </c>
      <c r="M2117" t="s">
        <v>1744</v>
      </c>
    </row>
    <row r="2118" spans="12:13" x14ac:dyDescent="0.25">
      <c r="L2118" s="65">
        <v>463131</v>
      </c>
      <c r="M2118" t="s">
        <v>1744</v>
      </c>
    </row>
    <row r="2119" spans="12:13" x14ac:dyDescent="0.25">
      <c r="L2119" s="65">
        <v>463132</v>
      </c>
      <c r="M2119" t="s">
        <v>1745</v>
      </c>
    </row>
    <row r="2120" spans="12:13" x14ac:dyDescent="0.25">
      <c r="L2120" s="65">
        <v>463133</v>
      </c>
      <c r="M2120" t="s">
        <v>1746</v>
      </c>
    </row>
    <row r="2121" spans="12:13" x14ac:dyDescent="0.25">
      <c r="L2121" s="65">
        <v>463140</v>
      </c>
      <c r="M2121" t="s">
        <v>1747</v>
      </c>
    </row>
    <row r="2122" spans="12:13" x14ac:dyDescent="0.25">
      <c r="L2122" s="65">
        <v>463141</v>
      </c>
      <c r="M2122" t="s">
        <v>1747</v>
      </c>
    </row>
    <row r="2123" spans="12:13" x14ac:dyDescent="0.25">
      <c r="L2123" s="65">
        <v>463142</v>
      </c>
      <c r="M2123" t="s">
        <v>1748</v>
      </c>
    </row>
    <row r="2124" spans="12:13" x14ac:dyDescent="0.25">
      <c r="L2124" s="65">
        <v>463143</v>
      </c>
      <c r="M2124" t="s">
        <v>1749</v>
      </c>
    </row>
    <row r="2125" spans="12:13" x14ac:dyDescent="0.25">
      <c r="L2125" s="65">
        <v>463200</v>
      </c>
      <c r="M2125" t="s">
        <v>1750</v>
      </c>
    </row>
    <row r="2126" spans="12:13" x14ac:dyDescent="0.25">
      <c r="L2126" s="65">
        <v>463210</v>
      </c>
      <c r="M2126" t="s">
        <v>1751</v>
      </c>
    </row>
    <row r="2127" spans="12:13" x14ac:dyDescent="0.25">
      <c r="L2127" s="65">
        <v>463211</v>
      </c>
      <c r="M2127" t="s">
        <v>1751</v>
      </c>
    </row>
    <row r="2128" spans="12:13" x14ac:dyDescent="0.25">
      <c r="L2128" s="65">
        <v>463220</v>
      </c>
      <c r="M2128" t="s">
        <v>1752</v>
      </c>
    </row>
    <row r="2129" spans="12:13" x14ac:dyDescent="0.25">
      <c r="L2129" s="65">
        <v>463221</v>
      </c>
      <c r="M2129" t="s">
        <v>1753</v>
      </c>
    </row>
    <row r="2130" spans="12:13" x14ac:dyDescent="0.25">
      <c r="L2130" s="65">
        <v>463222</v>
      </c>
      <c r="M2130" t="s">
        <v>1754</v>
      </c>
    </row>
    <row r="2131" spans="12:13" x14ac:dyDescent="0.25">
      <c r="L2131" s="65">
        <v>463230</v>
      </c>
      <c r="M2131" t="s">
        <v>1755</v>
      </c>
    </row>
    <row r="2132" spans="12:13" x14ac:dyDescent="0.25">
      <c r="L2132" s="65">
        <v>463231</v>
      </c>
      <c r="M2132" t="s">
        <v>1755</v>
      </c>
    </row>
    <row r="2133" spans="12:13" x14ac:dyDescent="0.25">
      <c r="L2133" s="65">
        <v>463240</v>
      </c>
      <c r="M2133" t="s">
        <v>1756</v>
      </c>
    </row>
    <row r="2134" spans="12:13" x14ac:dyDescent="0.25">
      <c r="L2134" s="65">
        <v>463241</v>
      </c>
      <c r="M2134" t="s">
        <v>1756</v>
      </c>
    </row>
    <row r="2135" spans="12:13" x14ac:dyDescent="0.25">
      <c r="L2135" s="65">
        <v>464000</v>
      </c>
      <c r="M2135" t="s">
        <v>1757</v>
      </c>
    </row>
    <row r="2136" spans="12:13" x14ac:dyDescent="0.25">
      <c r="L2136" s="65">
        <v>464100</v>
      </c>
      <c r="M2136" t="s">
        <v>1758</v>
      </c>
    </row>
    <row r="2137" spans="12:13" x14ac:dyDescent="0.25">
      <c r="L2137" s="65">
        <v>464110</v>
      </c>
      <c r="M2137" t="s">
        <v>1759</v>
      </c>
    </row>
    <row r="2138" spans="12:13" x14ac:dyDescent="0.25">
      <c r="L2138" s="65">
        <v>464111</v>
      </c>
      <c r="M2138" t="s">
        <v>1759</v>
      </c>
    </row>
    <row r="2139" spans="12:13" x14ac:dyDescent="0.25">
      <c r="L2139" s="65">
        <v>464112</v>
      </c>
      <c r="M2139" t="s">
        <v>1760</v>
      </c>
    </row>
    <row r="2140" spans="12:13" x14ac:dyDescent="0.25">
      <c r="L2140" s="65">
        <v>464113</v>
      </c>
      <c r="M2140" t="s">
        <v>1761</v>
      </c>
    </row>
    <row r="2141" spans="12:13" x14ac:dyDescent="0.25">
      <c r="L2141" s="65">
        <v>464120</v>
      </c>
      <c r="M2141" t="s">
        <v>1762</v>
      </c>
    </row>
    <row r="2142" spans="12:13" x14ac:dyDescent="0.25">
      <c r="L2142" s="65">
        <v>464121</v>
      </c>
      <c r="M2142" t="s">
        <v>1763</v>
      </c>
    </row>
    <row r="2143" spans="12:13" x14ac:dyDescent="0.25">
      <c r="L2143" s="65">
        <v>464130</v>
      </c>
      <c r="M2143" t="s">
        <v>1764</v>
      </c>
    </row>
    <row r="2144" spans="12:13" x14ac:dyDescent="0.25">
      <c r="L2144" s="65">
        <v>464131</v>
      </c>
      <c r="M2144" t="s">
        <v>1765</v>
      </c>
    </row>
    <row r="2145" spans="12:13" x14ac:dyDescent="0.25">
      <c r="L2145" s="65">
        <v>464140</v>
      </c>
      <c r="M2145" t="s">
        <v>1766</v>
      </c>
    </row>
    <row r="2146" spans="12:13" x14ac:dyDescent="0.25">
      <c r="L2146" s="65">
        <v>464141</v>
      </c>
      <c r="M2146" t="s">
        <v>1767</v>
      </c>
    </row>
    <row r="2147" spans="12:13" x14ac:dyDescent="0.25">
      <c r="L2147" s="65">
        <v>464150</v>
      </c>
      <c r="M2147" t="s">
        <v>1768</v>
      </c>
    </row>
    <row r="2148" spans="12:13" x14ac:dyDescent="0.25">
      <c r="L2148" s="65">
        <v>464151</v>
      </c>
      <c r="M2148" t="s">
        <v>1768</v>
      </c>
    </row>
    <row r="2149" spans="12:13" x14ac:dyDescent="0.25">
      <c r="L2149" s="65">
        <v>464200</v>
      </c>
      <c r="M2149" t="s">
        <v>1769</v>
      </c>
    </row>
    <row r="2150" spans="12:13" x14ac:dyDescent="0.25">
      <c r="L2150" s="65">
        <v>464210</v>
      </c>
      <c r="M2150" t="s">
        <v>1770</v>
      </c>
    </row>
    <row r="2151" spans="12:13" x14ac:dyDescent="0.25">
      <c r="L2151" s="65">
        <v>464211</v>
      </c>
      <c r="M2151" t="s">
        <v>1770</v>
      </c>
    </row>
    <row r="2152" spans="12:13" x14ac:dyDescent="0.25">
      <c r="L2152" s="65">
        <v>464212</v>
      </c>
      <c r="M2152" t="s">
        <v>1771</v>
      </c>
    </row>
    <row r="2153" spans="12:13" x14ac:dyDescent="0.25">
      <c r="L2153" s="65">
        <v>464213</v>
      </c>
      <c r="M2153" t="s">
        <v>1772</v>
      </c>
    </row>
    <row r="2154" spans="12:13" x14ac:dyDescent="0.25">
      <c r="L2154" s="65">
        <v>464220</v>
      </c>
      <c r="M2154" t="s">
        <v>1773</v>
      </c>
    </row>
    <row r="2155" spans="12:13" x14ac:dyDescent="0.25">
      <c r="L2155" s="65">
        <v>464221</v>
      </c>
      <c r="M2155" t="s">
        <v>1773</v>
      </c>
    </row>
    <row r="2156" spans="12:13" x14ac:dyDescent="0.25">
      <c r="L2156" s="65">
        <v>464250</v>
      </c>
      <c r="M2156" t="s">
        <v>1774</v>
      </c>
    </row>
    <row r="2157" spans="12:13" x14ac:dyDescent="0.25">
      <c r="L2157" s="65">
        <v>464251</v>
      </c>
      <c r="M2157" t="s">
        <v>1774</v>
      </c>
    </row>
    <row r="2158" spans="12:13" x14ac:dyDescent="0.25">
      <c r="L2158" s="65">
        <v>465000</v>
      </c>
      <c r="M2158" t="s">
        <v>1775</v>
      </c>
    </row>
    <row r="2159" spans="12:13" x14ac:dyDescent="0.25">
      <c r="L2159" s="65">
        <v>465100</v>
      </c>
      <c r="M2159" t="s">
        <v>1776</v>
      </c>
    </row>
    <row r="2160" spans="12:13" x14ac:dyDescent="0.25">
      <c r="L2160" s="65">
        <v>465110</v>
      </c>
      <c r="M2160" t="s">
        <v>1776</v>
      </c>
    </row>
    <row r="2161" spans="12:13" x14ac:dyDescent="0.25">
      <c r="L2161" s="65">
        <v>465111</v>
      </c>
      <c r="M2161" t="s">
        <v>1776</v>
      </c>
    </row>
    <row r="2162" spans="12:13" x14ac:dyDescent="0.25">
      <c r="L2162" s="65">
        <v>465112</v>
      </c>
      <c r="M2162" t="s">
        <v>1777</v>
      </c>
    </row>
    <row r="2163" spans="12:13" x14ac:dyDescent="0.25">
      <c r="L2163" s="65">
        <v>465200</v>
      </c>
      <c r="M2163" t="s">
        <v>1778</v>
      </c>
    </row>
    <row r="2164" spans="12:13" x14ac:dyDescent="0.25">
      <c r="L2164" s="65">
        <v>465210</v>
      </c>
      <c r="M2164" t="s">
        <v>1778</v>
      </c>
    </row>
    <row r="2165" spans="12:13" x14ac:dyDescent="0.25">
      <c r="L2165" s="65">
        <v>465211</v>
      </c>
      <c r="M2165" t="s">
        <v>1778</v>
      </c>
    </row>
    <row r="2166" spans="12:13" x14ac:dyDescent="0.25">
      <c r="L2166" s="65">
        <v>470000</v>
      </c>
      <c r="M2166" t="s">
        <v>1779</v>
      </c>
    </row>
    <row r="2167" spans="12:13" x14ac:dyDescent="0.25">
      <c r="L2167" s="65">
        <v>471000</v>
      </c>
      <c r="M2167" t="s">
        <v>1780</v>
      </c>
    </row>
    <row r="2168" spans="12:13" x14ac:dyDescent="0.25">
      <c r="L2168" s="65">
        <v>471100</v>
      </c>
      <c r="M2168" t="s">
        <v>1781</v>
      </c>
    </row>
    <row r="2169" spans="12:13" x14ac:dyDescent="0.25">
      <c r="L2169" s="65">
        <v>471110</v>
      </c>
      <c r="M2169" t="s">
        <v>1782</v>
      </c>
    </row>
    <row r="2170" spans="12:13" x14ac:dyDescent="0.25">
      <c r="L2170" s="65">
        <v>471111</v>
      </c>
      <c r="M2170" t="s">
        <v>1783</v>
      </c>
    </row>
    <row r="2171" spans="12:13" x14ac:dyDescent="0.25">
      <c r="L2171" s="65">
        <v>471112</v>
      </c>
      <c r="M2171" t="s">
        <v>1784</v>
      </c>
    </row>
    <row r="2172" spans="12:13" x14ac:dyDescent="0.25">
      <c r="L2172" s="65">
        <v>471113</v>
      </c>
      <c r="M2172" t="s">
        <v>1785</v>
      </c>
    </row>
    <row r="2173" spans="12:13" x14ac:dyDescent="0.25">
      <c r="L2173" s="65">
        <v>471114</v>
      </c>
      <c r="M2173" t="s">
        <v>1786</v>
      </c>
    </row>
    <row r="2174" spans="12:13" x14ac:dyDescent="0.25">
      <c r="L2174" s="65">
        <v>471120</v>
      </c>
      <c r="M2174" t="s">
        <v>1787</v>
      </c>
    </row>
    <row r="2175" spans="12:13" x14ac:dyDescent="0.25">
      <c r="L2175" s="65">
        <v>471121</v>
      </c>
      <c r="M2175" t="s">
        <v>1788</v>
      </c>
    </row>
    <row r="2176" spans="12:13" x14ac:dyDescent="0.25">
      <c r="L2176" s="65">
        <v>471122</v>
      </c>
      <c r="M2176" t="s">
        <v>1789</v>
      </c>
    </row>
    <row r="2177" spans="12:13" x14ac:dyDescent="0.25">
      <c r="L2177" s="65">
        <v>471123</v>
      </c>
      <c r="M2177" t="s">
        <v>1790</v>
      </c>
    </row>
    <row r="2178" spans="12:13" x14ac:dyDescent="0.25">
      <c r="L2178" s="65">
        <v>471124</v>
      </c>
      <c r="M2178" t="s">
        <v>1791</v>
      </c>
    </row>
    <row r="2179" spans="12:13" x14ac:dyDescent="0.25">
      <c r="L2179" s="65">
        <v>471125</v>
      </c>
      <c r="M2179" t="s">
        <v>1792</v>
      </c>
    </row>
    <row r="2180" spans="12:13" x14ac:dyDescent="0.25">
      <c r="L2180" s="65">
        <v>471129</v>
      </c>
      <c r="M2180" t="s">
        <v>1793</v>
      </c>
    </row>
    <row r="2181" spans="12:13" x14ac:dyDescent="0.25">
      <c r="L2181" s="65">
        <v>471130</v>
      </c>
      <c r="M2181" t="s">
        <v>1794</v>
      </c>
    </row>
    <row r="2182" spans="12:13" x14ac:dyDescent="0.25">
      <c r="L2182" s="65">
        <v>471131</v>
      </c>
      <c r="M2182" t="s">
        <v>1795</v>
      </c>
    </row>
    <row r="2183" spans="12:13" x14ac:dyDescent="0.25">
      <c r="L2183" s="65">
        <v>471132</v>
      </c>
      <c r="M2183" t="s">
        <v>1796</v>
      </c>
    </row>
    <row r="2184" spans="12:13" x14ac:dyDescent="0.25">
      <c r="L2184" s="65">
        <v>471133</v>
      </c>
      <c r="M2184" t="s">
        <v>1797</v>
      </c>
    </row>
    <row r="2185" spans="12:13" x14ac:dyDescent="0.25">
      <c r="L2185" s="65">
        <v>471134</v>
      </c>
      <c r="M2185" t="s">
        <v>1798</v>
      </c>
    </row>
    <row r="2186" spans="12:13" x14ac:dyDescent="0.25">
      <c r="L2186" s="65">
        <v>471135</v>
      </c>
      <c r="M2186" t="s">
        <v>1799</v>
      </c>
    </row>
    <row r="2187" spans="12:13" x14ac:dyDescent="0.25">
      <c r="L2187" s="65">
        <v>471136</v>
      </c>
      <c r="M2187" t="s">
        <v>1800</v>
      </c>
    </row>
    <row r="2188" spans="12:13" x14ac:dyDescent="0.25">
      <c r="L2188" s="65">
        <v>471137</v>
      </c>
      <c r="M2188" t="s">
        <v>1801</v>
      </c>
    </row>
    <row r="2189" spans="12:13" x14ac:dyDescent="0.25">
      <c r="L2189" s="65">
        <v>471139</v>
      </c>
      <c r="M2189" t="s">
        <v>1802</v>
      </c>
    </row>
    <row r="2190" spans="12:13" x14ac:dyDescent="0.25">
      <c r="L2190" s="65">
        <v>471140</v>
      </c>
      <c r="M2190" t="s">
        <v>1803</v>
      </c>
    </row>
    <row r="2191" spans="12:13" x14ac:dyDescent="0.25">
      <c r="L2191" s="65">
        <v>471141</v>
      </c>
      <c r="M2191" t="s">
        <v>1804</v>
      </c>
    </row>
    <row r="2192" spans="12:13" x14ac:dyDescent="0.25">
      <c r="L2192" s="65">
        <v>471142</v>
      </c>
      <c r="M2192" t="s">
        <v>1805</v>
      </c>
    </row>
    <row r="2193" spans="12:13" x14ac:dyDescent="0.25">
      <c r="L2193" s="65">
        <v>471143</v>
      </c>
      <c r="M2193" t="s">
        <v>1806</v>
      </c>
    </row>
    <row r="2194" spans="12:13" x14ac:dyDescent="0.25">
      <c r="L2194" s="65">
        <v>471144</v>
      </c>
      <c r="M2194" t="s">
        <v>1807</v>
      </c>
    </row>
    <row r="2195" spans="12:13" x14ac:dyDescent="0.25">
      <c r="L2195" s="65">
        <v>471149</v>
      </c>
      <c r="M2195" t="s">
        <v>1808</v>
      </c>
    </row>
    <row r="2196" spans="12:13" x14ac:dyDescent="0.25">
      <c r="L2196" s="65">
        <v>471190</v>
      </c>
      <c r="M2196" t="s">
        <v>1809</v>
      </c>
    </row>
    <row r="2197" spans="12:13" x14ac:dyDescent="0.25">
      <c r="L2197" s="65">
        <v>471191</v>
      </c>
      <c r="M2197" t="s">
        <v>1810</v>
      </c>
    </row>
    <row r="2198" spans="12:13" x14ac:dyDescent="0.25">
      <c r="L2198" s="65">
        <v>471192</v>
      </c>
      <c r="M2198" t="s">
        <v>1811</v>
      </c>
    </row>
    <row r="2199" spans="12:13" x14ac:dyDescent="0.25">
      <c r="L2199" s="65">
        <v>471193</v>
      </c>
      <c r="M2199" t="s">
        <v>1812</v>
      </c>
    </row>
    <row r="2200" spans="12:13" x14ac:dyDescent="0.25">
      <c r="L2200" s="65">
        <v>471194</v>
      </c>
      <c r="M2200" t="s">
        <v>1813</v>
      </c>
    </row>
    <row r="2201" spans="12:13" x14ac:dyDescent="0.25">
      <c r="L2201" s="65">
        <v>471195</v>
      </c>
      <c r="M2201" t="s">
        <v>1814</v>
      </c>
    </row>
    <row r="2202" spans="12:13" x14ac:dyDescent="0.25">
      <c r="L2202" s="65">
        <v>471199</v>
      </c>
      <c r="M2202" t="s">
        <v>1815</v>
      </c>
    </row>
    <row r="2203" spans="12:13" x14ac:dyDescent="0.25">
      <c r="L2203" s="65">
        <v>471200</v>
      </c>
      <c r="M2203" t="s">
        <v>1816</v>
      </c>
    </row>
    <row r="2204" spans="12:13" x14ac:dyDescent="0.25">
      <c r="L2204" s="65">
        <v>471210</v>
      </c>
      <c r="M2204" t="s">
        <v>1817</v>
      </c>
    </row>
    <row r="2205" spans="12:13" x14ac:dyDescent="0.25">
      <c r="L2205" s="65">
        <v>471211</v>
      </c>
      <c r="M2205" t="s">
        <v>1818</v>
      </c>
    </row>
    <row r="2206" spans="12:13" x14ac:dyDescent="0.25">
      <c r="L2206" s="65">
        <v>471212</v>
      </c>
      <c r="M2206" t="s">
        <v>1819</v>
      </c>
    </row>
    <row r="2207" spans="12:13" x14ac:dyDescent="0.25">
      <c r="L2207" s="65">
        <v>471213</v>
      </c>
      <c r="M2207" t="s">
        <v>1820</v>
      </c>
    </row>
    <row r="2208" spans="12:13" x14ac:dyDescent="0.25">
      <c r="L2208" s="65">
        <v>471214</v>
      </c>
      <c r="M2208" t="s">
        <v>1821</v>
      </c>
    </row>
    <row r="2209" spans="12:13" x14ac:dyDescent="0.25">
      <c r="L2209" s="65">
        <v>471215</v>
      </c>
      <c r="M2209" t="s">
        <v>1822</v>
      </c>
    </row>
    <row r="2210" spans="12:13" x14ac:dyDescent="0.25">
      <c r="L2210" s="65">
        <v>471216</v>
      </c>
      <c r="M2210" t="s">
        <v>1823</v>
      </c>
    </row>
    <row r="2211" spans="12:13" x14ac:dyDescent="0.25">
      <c r="L2211" s="65">
        <v>471217</v>
      </c>
      <c r="M2211" t="s">
        <v>1824</v>
      </c>
    </row>
    <row r="2212" spans="12:13" x14ac:dyDescent="0.25">
      <c r="L2212" s="65">
        <v>471219</v>
      </c>
      <c r="M2212" t="s">
        <v>1825</v>
      </c>
    </row>
    <row r="2213" spans="12:13" x14ac:dyDescent="0.25">
      <c r="L2213" s="65">
        <v>471220</v>
      </c>
      <c r="M2213" t="s">
        <v>1826</v>
      </c>
    </row>
    <row r="2214" spans="12:13" x14ac:dyDescent="0.25">
      <c r="L2214" s="65">
        <v>471221</v>
      </c>
      <c r="M2214" t="s">
        <v>1507</v>
      </c>
    </row>
    <row r="2215" spans="12:13" x14ac:dyDescent="0.25">
      <c r="L2215" s="65">
        <v>471222</v>
      </c>
      <c r="M2215" t="s">
        <v>1827</v>
      </c>
    </row>
    <row r="2216" spans="12:13" x14ac:dyDescent="0.25">
      <c r="L2216" s="65">
        <v>471223</v>
      </c>
      <c r="M2216" t="s">
        <v>1828</v>
      </c>
    </row>
    <row r="2217" spans="12:13" x14ac:dyDescent="0.25">
      <c r="L2217" s="65">
        <v>471224</v>
      </c>
      <c r="M2217" t="s">
        <v>1829</v>
      </c>
    </row>
    <row r="2218" spans="12:13" x14ac:dyDescent="0.25">
      <c r="L2218" s="65">
        <v>471229</v>
      </c>
      <c r="M2218" t="s">
        <v>1830</v>
      </c>
    </row>
    <row r="2219" spans="12:13" x14ac:dyDescent="0.25">
      <c r="L2219" s="65">
        <v>471230</v>
      </c>
      <c r="M2219" t="s">
        <v>1831</v>
      </c>
    </row>
    <row r="2220" spans="12:13" x14ac:dyDescent="0.25">
      <c r="L2220" s="65">
        <v>471231</v>
      </c>
      <c r="M2220" t="s">
        <v>1832</v>
      </c>
    </row>
    <row r="2221" spans="12:13" x14ac:dyDescent="0.25">
      <c r="L2221" s="65">
        <v>471232</v>
      </c>
      <c r="M2221" t="s">
        <v>1833</v>
      </c>
    </row>
    <row r="2222" spans="12:13" x14ac:dyDescent="0.25">
      <c r="L2222" s="65">
        <v>471240</v>
      </c>
      <c r="M2222" t="s">
        <v>1834</v>
      </c>
    </row>
    <row r="2223" spans="12:13" x14ac:dyDescent="0.25">
      <c r="L2223" s="65">
        <v>471241</v>
      </c>
      <c r="M2223" t="s">
        <v>1835</v>
      </c>
    </row>
    <row r="2224" spans="12:13" x14ac:dyDescent="0.25">
      <c r="L2224" s="65">
        <v>471242</v>
      </c>
      <c r="M2224" t="s">
        <v>1836</v>
      </c>
    </row>
    <row r="2225" spans="12:13" x14ac:dyDescent="0.25">
      <c r="L2225" s="65">
        <v>471243</v>
      </c>
      <c r="M2225" t="s">
        <v>1837</v>
      </c>
    </row>
    <row r="2226" spans="12:13" x14ac:dyDescent="0.25">
      <c r="L2226" s="65">
        <v>471250</v>
      </c>
      <c r="M2226" t="s">
        <v>1838</v>
      </c>
    </row>
    <row r="2227" spans="12:13" x14ac:dyDescent="0.25">
      <c r="L2227" s="65">
        <v>471251</v>
      </c>
      <c r="M2227" t="s">
        <v>1839</v>
      </c>
    </row>
    <row r="2228" spans="12:13" x14ac:dyDescent="0.25">
      <c r="L2228" s="65">
        <v>471252</v>
      </c>
      <c r="M2228" t="s">
        <v>1840</v>
      </c>
    </row>
    <row r="2229" spans="12:13" x14ac:dyDescent="0.25">
      <c r="L2229" s="65">
        <v>471253</v>
      </c>
      <c r="M2229" t="s">
        <v>1841</v>
      </c>
    </row>
    <row r="2230" spans="12:13" x14ac:dyDescent="0.25">
      <c r="L2230" s="65">
        <v>471260</v>
      </c>
      <c r="M2230" t="s">
        <v>1842</v>
      </c>
    </row>
    <row r="2231" spans="12:13" x14ac:dyDescent="0.25">
      <c r="L2231" s="65">
        <v>471261</v>
      </c>
      <c r="M2231" t="s">
        <v>1843</v>
      </c>
    </row>
    <row r="2232" spans="12:13" x14ac:dyDescent="0.25">
      <c r="L2232" s="65">
        <v>471262</v>
      </c>
      <c r="M2232" t="s">
        <v>1844</v>
      </c>
    </row>
    <row r="2233" spans="12:13" x14ac:dyDescent="0.25">
      <c r="L2233" s="65">
        <v>471263</v>
      </c>
      <c r="M2233" t="s">
        <v>1845</v>
      </c>
    </row>
    <row r="2234" spans="12:13" x14ac:dyDescent="0.25">
      <c r="L2234" s="65">
        <v>471290</v>
      </c>
      <c r="M2234" t="s">
        <v>1846</v>
      </c>
    </row>
    <row r="2235" spans="12:13" x14ac:dyDescent="0.25">
      <c r="L2235" s="65">
        <v>471291</v>
      </c>
      <c r="M2235" t="s">
        <v>1847</v>
      </c>
    </row>
    <row r="2236" spans="12:13" x14ac:dyDescent="0.25">
      <c r="L2236" s="65">
        <v>471292</v>
      </c>
      <c r="M2236" t="s">
        <v>1814</v>
      </c>
    </row>
    <row r="2237" spans="12:13" x14ac:dyDescent="0.25">
      <c r="L2237" s="65">
        <v>471299</v>
      </c>
      <c r="M2237" t="s">
        <v>1848</v>
      </c>
    </row>
    <row r="2238" spans="12:13" x14ac:dyDescent="0.25">
      <c r="L2238" s="65">
        <v>471900</v>
      </c>
      <c r="M2238" t="s">
        <v>1849</v>
      </c>
    </row>
    <row r="2239" spans="12:13" x14ac:dyDescent="0.25">
      <c r="L2239" s="65">
        <v>471910</v>
      </c>
      <c r="M2239" t="s">
        <v>1850</v>
      </c>
    </row>
    <row r="2240" spans="12:13" x14ac:dyDescent="0.25">
      <c r="L2240" s="65">
        <v>471911</v>
      </c>
      <c r="M2240" t="s">
        <v>1850</v>
      </c>
    </row>
    <row r="2241" spans="12:13" x14ac:dyDescent="0.25">
      <c r="L2241" s="65">
        <v>471912</v>
      </c>
      <c r="M2241" t="s">
        <v>1851</v>
      </c>
    </row>
    <row r="2242" spans="12:13" x14ac:dyDescent="0.25">
      <c r="L2242" s="65">
        <v>471913</v>
      </c>
      <c r="M2242" t="s">
        <v>1852</v>
      </c>
    </row>
    <row r="2243" spans="12:13" x14ac:dyDescent="0.25">
      <c r="L2243" s="65">
        <v>471914</v>
      </c>
      <c r="M2243" t="s">
        <v>1853</v>
      </c>
    </row>
    <row r="2244" spans="12:13" x14ac:dyDescent="0.25">
      <c r="L2244" s="65">
        <v>471915</v>
      </c>
      <c r="M2244" t="s">
        <v>1854</v>
      </c>
    </row>
    <row r="2245" spans="12:13" x14ac:dyDescent="0.25">
      <c r="L2245" s="65">
        <v>471920</v>
      </c>
      <c r="M2245" t="s">
        <v>1855</v>
      </c>
    </row>
    <row r="2246" spans="12:13" x14ac:dyDescent="0.25">
      <c r="L2246" s="65">
        <v>471921</v>
      </c>
      <c r="M2246" t="s">
        <v>1855</v>
      </c>
    </row>
    <row r="2247" spans="12:13" x14ac:dyDescent="0.25">
      <c r="L2247" s="65">
        <v>471922</v>
      </c>
      <c r="M2247" t="s">
        <v>1856</v>
      </c>
    </row>
    <row r="2248" spans="12:13" x14ac:dyDescent="0.25">
      <c r="L2248" s="65">
        <v>471923</v>
      </c>
      <c r="M2248" t="s">
        <v>1857</v>
      </c>
    </row>
    <row r="2249" spans="12:13" x14ac:dyDescent="0.25">
      <c r="L2249" s="65">
        <v>471930</v>
      </c>
      <c r="M2249" t="s">
        <v>1858</v>
      </c>
    </row>
    <row r="2250" spans="12:13" x14ac:dyDescent="0.25">
      <c r="L2250" s="65">
        <v>471931</v>
      </c>
      <c r="M2250" t="s">
        <v>1859</v>
      </c>
    </row>
    <row r="2251" spans="12:13" x14ac:dyDescent="0.25">
      <c r="L2251" s="65">
        <v>471940</v>
      </c>
      <c r="M2251" t="s">
        <v>1860</v>
      </c>
    </row>
    <row r="2252" spans="12:13" x14ac:dyDescent="0.25">
      <c r="L2252" s="65">
        <v>471941</v>
      </c>
      <c r="M2252" t="s">
        <v>1861</v>
      </c>
    </row>
    <row r="2253" spans="12:13" x14ac:dyDescent="0.25">
      <c r="L2253" s="65">
        <v>471942</v>
      </c>
      <c r="M2253" t="s">
        <v>1862</v>
      </c>
    </row>
    <row r="2254" spans="12:13" x14ac:dyDescent="0.25">
      <c r="L2254" s="65">
        <v>471943</v>
      </c>
      <c r="M2254" t="s">
        <v>1863</v>
      </c>
    </row>
    <row r="2255" spans="12:13" x14ac:dyDescent="0.25">
      <c r="L2255" s="65">
        <v>471950</v>
      </c>
      <c r="M2255" t="s">
        <v>1864</v>
      </c>
    </row>
    <row r="2256" spans="12:13" x14ac:dyDescent="0.25">
      <c r="L2256" s="65">
        <v>471951</v>
      </c>
      <c r="M2256" t="s">
        <v>1864</v>
      </c>
    </row>
    <row r="2257" spans="12:13" x14ac:dyDescent="0.25">
      <c r="L2257" s="65">
        <v>472000</v>
      </c>
      <c r="M2257" t="s">
        <v>1865</v>
      </c>
    </row>
    <row r="2258" spans="12:13" x14ac:dyDescent="0.25">
      <c r="L2258" s="65">
        <v>472100</v>
      </c>
      <c r="M2258" t="s">
        <v>1866</v>
      </c>
    </row>
    <row r="2259" spans="12:13" x14ac:dyDescent="0.25">
      <c r="L2259" s="65">
        <v>472110</v>
      </c>
      <c r="M2259" t="s">
        <v>1867</v>
      </c>
    </row>
    <row r="2260" spans="12:13" x14ac:dyDescent="0.25">
      <c r="L2260" s="65">
        <v>472111</v>
      </c>
      <c r="M2260" t="s">
        <v>1867</v>
      </c>
    </row>
    <row r="2261" spans="12:13" x14ac:dyDescent="0.25">
      <c r="L2261" s="65">
        <v>472120</v>
      </c>
      <c r="M2261" t="s">
        <v>1868</v>
      </c>
    </row>
    <row r="2262" spans="12:13" x14ac:dyDescent="0.25">
      <c r="L2262" s="65">
        <v>472121</v>
      </c>
      <c r="M2262" t="s">
        <v>1868</v>
      </c>
    </row>
    <row r="2263" spans="12:13" x14ac:dyDescent="0.25">
      <c r="L2263" s="65">
        <v>472130</v>
      </c>
      <c r="M2263" t="s">
        <v>1869</v>
      </c>
    </row>
    <row r="2264" spans="12:13" x14ac:dyDescent="0.25">
      <c r="L2264" s="65">
        <v>472131</v>
      </c>
      <c r="M2264" t="s">
        <v>1870</v>
      </c>
    </row>
    <row r="2265" spans="12:13" x14ac:dyDescent="0.25">
      <c r="L2265" s="65">
        <v>472132</v>
      </c>
      <c r="M2265" t="s">
        <v>1871</v>
      </c>
    </row>
    <row r="2266" spans="12:13" x14ac:dyDescent="0.25">
      <c r="L2266" s="65">
        <v>472200</v>
      </c>
      <c r="M2266" t="s">
        <v>1872</v>
      </c>
    </row>
    <row r="2267" spans="12:13" x14ac:dyDescent="0.25">
      <c r="L2267" s="65">
        <v>472210</v>
      </c>
      <c r="M2267" t="s">
        <v>1872</v>
      </c>
    </row>
    <row r="2268" spans="12:13" x14ac:dyDescent="0.25">
      <c r="L2268" s="65">
        <v>472211</v>
      </c>
      <c r="M2268" t="s">
        <v>1872</v>
      </c>
    </row>
    <row r="2269" spans="12:13" x14ac:dyDescent="0.25">
      <c r="L2269" s="65">
        <v>472300</v>
      </c>
      <c r="M2269" t="s">
        <v>1873</v>
      </c>
    </row>
    <row r="2270" spans="12:13" x14ac:dyDescent="0.25">
      <c r="L2270" s="65">
        <v>472310</v>
      </c>
      <c r="M2270" t="s">
        <v>1873</v>
      </c>
    </row>
    <row r="2271" spans="12:13" x14ac:dyDescent="0.25">
      <c r="L2271" s="65">
        <v>472311</v>
      </c>
      <c r="M2271" t="s">
        <v>1873</v>
      </c>
    </row>
    <row r="2272" spans="12:13" x14ac:dyDescent="0.25">
      <c r="L2272" s="65">
        <v>472400</v>
      </c>
      <c r="M2272" t="s">
        <v>1874</v>
      </c>
    </row>
    <row r="2273" spans="12:13" x14ac:dyDescent="0.25">
      <c r="L2273" s="65">
        <v>472410</v>
      </c>
      <c r="M2273" t="s">
        <v>1874</v>
      </c>
    </row>
    <row r="2274" spans="12:13" x14ac:dyDescent="0.25">
      <c r="L2274" s="65">
        <v>472411</v>
      </c>
      <c r="M2274" t="s">
        <v>1874</v>
      </c>
    </row>
    <row r="2275" spans="12:13" x14ac:dyDescent="0.25">
      <c r="L2275" s="65">
        <v>472500</v>
      </c>
      <c r="M2275" t="s">
        <v>1875</v>
      </c>
    </row>
    <row r="2276" spans="12:13" x14ac:dyDescent="0.25">
      <c r="L2276" s="65">
        <v>472510</v>
      </c>
      <c r="M2276" t="s">
        <v>1876</v>
      </c>
    </row>
    <row r="2277" spans="12:13" x14ac:dyDescent="0.25">
      <c r="L2277" s="65">
        <v>472511</v>
      </c>
      <c r="M2277" t="s">
        <v>1876</v>
      </c>
    </row>
    <row r="2278" spans="12:13" x14ac:dyDescent="0.25">
      <c r="L2278" s="65">
        <v>472520</v>
      </c>
      <c r="M2278" t="s">
        <v>1877</v>
      </c>
    </row>
    <row r="2279" spans="12:13" x14ac:dyDescent="0.25">
      <c r="L2279" s="65">
        <v>472521</v>
      </c>
      <c r="M2279" t="s">
        <v>1877</v>
      </c>
    </row>
    <row r="2280" spans="12:13" x14ac:dyDescent="0.25">
      <c r="L2280" s="65">
        <v>472600</v>
      </c>
      <c r="M2280" t="s">
        <v>1878</v>
      </c>
    </row>
    <row r="2281" spans="12:13" x14ac:dyDescent="0.25">
      <c r="L2281" s="65">
        <v>472610</v>
      </c>
      <c r="M2281" t="s">
        <v>1878</v>
      </c>
    </row>
    <row r="2282" spans="12:13" x14ac:dyDescent="0.25">
      <c r="L2282" s="65">
        <v>472611</v>
      </c>
      <c r="M2282" t="s">
        <v>1878</v>
      </c>
    </row>
    <row r="2283" spans="12:13" x14ac:dyDescent="0.25">
      <c r="L2283" s="65">
        <v>472700</v>
      </c>
      <c r="M2283" t="s">
        <v>1879</v>
      </c>
    </row>
    <row r="2284" spans="12:13" x14ac:dyDescent="0.25">
      <c r="L2284" s="65">
        <v>472710</v>
      </c>
      <c r="M2284" t="s">
        <v>1880</v>
      </c>
    </row>
    <row r="2285" spans="12:13" x14ac:dyDescent="0.25">
      <c r="L2285" s="65">
        <v>472711</v>
      </c>
      <c r="M2285" t="s">
        <v>1881</v>
      </c>
    </row>
    <row r="2286" spans="12:13" x14ac:dyDescent="0.25">
      <c r="L2286" s="65">
        <v>472712</v>
      </c>
      <c r="M2286" t="s">
        <v>1882</v>
      </c>
    </row>
    <row r="2287" spans="12:13" x14ac:dyDescent="0.25">
      <c r="L2287" s="65">
        <v>472713</v>
      </c>
      <c r="M2287" t="s">
        <v>1883</v>
      </c>
    </row>
    <row r="2288" spans="12:13" x14ac:dyDescent="0.25">
      <c r="L2288" s="65">
        <v>472714</v>
      </c>
      <c r="M2288" t="s">
        <v>1884</v>
      </c>
    </row>
    <row r="2289" spans="12:13" x14ac:dyDescent="0.25">
      <c r="L2289" s="65">
        <v>472715</v>
      </c>
      <c r="M2289" t="s">
        <v>1885</v>
      </c>
    </row>
    <row r="2290" spans="12:13" x14ac:dyDescent="0.25">
      <c r="L2290" s="65">
        <v>472716</v>
      </c>
      <c r="M2290" t="s">
        <v>1886</v>
      </c>
    </row>
    <row r="2291" spans="12:13" x14ac:dyDescent="0.25">
      <c r="L2291" s="65">
        <v>472717</v>
      </c>
      <c r="M2291" t="s">
        <v>1887</v>
      </c>
    </row>
    <row r="2292" spans="12:13" x14ac:dyDescent="0.25">
      <c r="L2292" s="65">
        <v>472718</v>
      </c>
      <c r="M2292" t="s">
        <v>1432</v>
      </c>
    </row>
    <row r="2293" spans="12:13" x14ac:dyDescent="0.25">
      <c r="L2293" s="65">
        <v>472719</v>
      </c>
      <c r="M2293" t="s">
        <v>1888</v>
      </c>
    </row>
    <row r="2294" spans="12:13" x14ac:dyDescent="0.25">
      <c r="L2294" s="65">
        <v>472720</v>
      </c>
      <c r="M2294" t="s">
        <v>1889</v>
      </c>
    </row>
    <row r="2295" spans="12:13" x14ac:dyDescent="0.25">
      <c r="L2295" s="65">
        <v>472721</v>
      </c>
      <c r="M2295" t="s">
        <v>1889</v>
      </c>
    </row>
    <row r="2296" spans="12:13" x14ac:dyDescent="0.25">
      <c r="L2296" s="65">
        <v>472730</v>
      </c>
      <c r="M2296" t="s">
        <v>1890</v>
      </c>
    </row>
    <row r="2297" spans="12:13" x14ac:dyDescent="0.25">
      <c r="L2297" s="65">
        <v>472731</v>
      </c>
      <c r="M2297" t="s">
        <v>1891</v>
      </c>
    </row>
    <row r="2298" spans="12:13" x14ac:dyDescent="0.25">
      <c r="L2298" s="65">
        <v>472732</v>
      </c>
      <c r="M2298" t="s">
        <v>1892</v>
      </c>
    </row>
    <row r="2299" spans="12:13" x14ac:dyDescent="0.25">
      <c r="L2299" s="65">
        <v>472740</v>
      </c>
      <c r="M2299" t="s">
        <v>1893</v>
      </c>
    </row>
    <row r="2300" spans="12:13" x14ac:dyDescent="0.25">
      <c r="L2300" s="65">
        <v>472741</v>
      </c>
      <c r="M2300" t="s">
        <v>1893</v>
      </c>
    </row>
    <row r="2301" spans="12:13" x14ac:dyDescent="0.25">
      <c r="L2301" s="65">
        <v>472742</v>
      </c>
      <c r="M2301" t="s">
        <v>1894</v>
      </c>
    </row>
    <row r="2302" spans="12:13" x14ac:dyDescent="0.25">
      <c r="L2302" s="65">
        <v>472800</v>
      </c>
      <c r="M2302" t="s">
        <v>1895</v>
      </c>
    </row>
    <row r="2303" spans="12:13" x14ac:dyDescent="0.25">
      <c r="L2303" s="65">
        <v>472810</v>
      </c>
      <c r="M2303" t="s">
        <v>1895</v>
      </c>
    </row>
    <row r="2304" spans="12:13" x14ac:dyDescent="0.25">
      <c r="L2304" s="65">
        <v>472811</v>
      </c>
      <c r="M2304" t="s">
        <v>1895</v>
      </c>
    </row>
    <row r="2305" spans="12:13" x14ac:dyDescent="0.25">
      <c r="L2305" s="65">
        <v>472900</v>
      </c>
      <c r="M2305" t="s">
        <v>1896</v>
      </c>
    </row>
    <row r="2306" spans="12:13" x14ac:dyDescent="0.25">
      <c r="L2306" s="65">
        <v>472910</v>
      </c>
      <c r="M2306" t="s">
        <v>1897</v>
      </c>
    </row>
    <row r="2307" spans="12:13" x14ac:dyDescent="0.25">
      <c r="L2307" s="65">
        <v>472911</v>
      </c>
      <c r="M2307" t="s">
        <v>1897</v>
      </c>
    </row>
    <row r="2308" spans="12:13" x14ac:dyDescent="0.25">
      <c r="L2308" s="65">
        <v>472920</v>
      </c>
      <c r="M2308" t="s">
        <v>1898</v>
      </c>
    </row>
    <row r="2309" spans="12:13" x14ac:dyDescent="0.25">
      <c r="L2309" s="65">
        <v>472921</v>
      </c>
      <c r="M2309" t="s">
        <v>1899</v>
      </c>
    </row>
    <row r="2310" spans="12:13" x14ac:dyDescent="0.25">
      <c r="L2310" s="65">
        <v>472922</v>
      </c>
      <c r="M2310" t="s">
        <v>1900</v>
      </c>
    </row>
    <row r="2311" spans="12:13" x14ac:dyDescent="0.25">
      <c r="L2311" s="65">
        <v>472930</v>
      </c>
      <c r="M2311" t="s">
        <v>1807</v>
      </c>
    </row>
    <row r="2312" spans="12:13" x14ac:dyDescent="0.25">
      <c r="L2312" s="65">
        <v>472931</v>
      </c>
      <c r="M2312" t="s">
        <v>1807</v>
      </c>
    </row>
    <row r="2313" spans="12:13" x14ac:dyDescent="0.25">
      <c r="L2313" s="65">
        <v>480000</v>
      </c>
      <c r="M2313" t="s">
        <v>1901</v>
      </c>
    </row>
    <row r="2314" spans="12:13" x14ac:dyDescent="0.25">
      <c r="L2314" s="65">
        <v>481000</v>
      </c>
      <c r="M2314" t="s">
        <v>1902</v>
      </c>
    </row>
    <row r="2315" spans="12:13" x14ac:dyDescent="0.25">
      <c r="L2315" s="65">
        <v>481100</v>
      </c>
      <c r="M2315" t="s">
        <v>1903</v>
      </c>
    </row>
    <row r="2316" spans="12:13" x14ac:dyDescent="0.25">
      <c r="L2316" s="65">
        <v>481110</v>
      </c>
      <c r="M2316" t="s">
        <v>1903</v>
      </c>
    </row>
    <row r="2317" spans="12:13" x14ac:dyDescent="0.25">
      <c r="L2317" s="65">
        <v>481111</v>
      </c>
      <c r="M2317" t="s">
        <v>1904</v>
      </c>
    </row>
    <row r="2318" spans="12:13" x14ac:dyDescent="0.25">
      <c r="L2318" s="65">
        <v>481112</v>
      </c>
      <c r="M2318" t="s">
        <v>1905</v>
      </c>
    </row>
    <row r="2319" spans="12:13" x14ac:dyDescent="0.25">
      <c r="L2319" s="65">
        <v>481113</v>
      </c>
      <c r="M2319" t="s">
        <v>1906</v>
      </c>
    </row>
    <row r="2320" spans="12:13" x14ac:dyDescent="0.25">
      <c r="L2320" s="65">
        <v>481120</v>
      </c>
      <c r="M2320" t="s">
        <v>1907</v>
      </c>
    </row>
    <row r="2321" spans="12:13" x14ac:dyDescent="0.25">
      <c r="L2321" s="65">
        <v>481121</v>
      </c>
      <c r="M2321" t="s">
        <v>1908</v>
      </c>
    </row>
    <row r="2322" spans="12:13" x14ac:dyDescent="0.25">
      <c r="L2322" s="65">
        <v>481130</v>
      </c>
      <c r="M2322" t="s">
        <v>1909</v>
      </c>
    </row>
    <row r="2323" spans="12:13" x14ac:dyDescent="0.25">
      <c r="L2323" s="65">
        <v>481131</v>
      </c>
      <c r="M2323" t="s">
        <v>1909</v>
      </c>
    </row>
    <row r="2324" spans="12:13" x14ac:dyDescent="0.25">
      <c r="L2324" s="65">
        <v>481900</v>
      </c>
      <c r="M2324" t="s">
        <v>1910</v>
      </c>
    </row>
    <row r="2325" spans="12:13" x14ac:dyDescent="0.25">
      <c r="L2325" s="65">
        <v>481910</v>
      </c>
      <c r="M2325" t="s">
        <v>1911</v>
      </c>
    </row>
    <row r="2326" spans="12:13" x14ac:dyDescent="0.25">
      <c r="L2326" s="65">
        <v>481911</v>
      </c>
      <c r="M2326" t="s">
        <v>1911</v>
      </c>
    </row>
    <row r="2327" spans="12:13" x14ac:dyDescent="0.25">
      <c r="L2327" s="65">
        <v>481920</v>
      </c>
      <c r="M2327" t="s">
        <v>1912</v>
      </c>
    </row>
    <row r="2328" spans="12:13" x14ac:dyDescent="0.25">
      <c r="L2328" s="65">
        <v>481921</v>
      </c>
      <c r="M2328" t="s">
        <v>1912</v>
      </c>
    </row>
    <row r="2329" spans="12:13" x14ac:dyDescent="0.25">
      <c r="L2329" s="65">
        <v>481930</v>
      </c>
      <c r="M2329" t="s">
        <v>1913</v>
      </c>
    </row>
    <row r="2330" spans="12:13" x14ac:dyDescent="0.25">
      <c r="L2330" s="65">
        <v>481931</v>
      </c>
      <c r="M2330" t="s">
        <v>1913</v>
      </c>
    </row>
    <row r="2331" spans="12:13" x14ac:dyDescent="0.25">
      <c r="L2331" s="65">
        <v>481940</v>
      </c>
      <c r="M2331" t="s">
        <v>1914</v>
      </c>
    </row>
    <row r="2332" spans="12:13" x14ac:dyDescent="0.25">
      <c r="L2332" s="65">
        <v>481941</v>
      </c>
      <c r="M2332" t="s">
        <v>1915</v>
      </c>
    </row>
    <row r="2333" spans="12:13" x14ac:dyDescent="0.25">
      <c r="L2333" s="65">
        <v>481942</v>
      </c>
      <c r="M2333" t="s">
        <v>1916</v>
      </c>
    </row>
    <row r="2334" spans="12:13" x14ac:dyDescent="0.25">
      <c r="L2334" s="65">
        <v>481950</v>
      </c>
      <c r="M2334" t="s">
        <v>1917</v>
      </c>
    </row>
    <row r="2335" spans="12:13" x14ac:dyDescent="0.25">
      <c r="L2335" s="65">
        <v>481951</v>
      </c>
      <c r="M2335" t="s">
        <v>1917</v>
      </c>
    </row>
    <row r="2336" spans="12:13" x14ac:dyDescent="0.25">
      <c r="L2336" s="65">
        <v>481960</v>
      </c>
      <c r="M2336" t="s">
        <v>1918</v>
      </c>
    </row>
    <row r="2337" spans="12:13" x14ac:dyDescent="0.25">
      <c r="L2337" s="65">
        <v>481961</v>
      </c>
      <c r="M2337" t="s">
        <v>1919</v>
      </c>
    </row>
    <row r="2338" spans="12:13" x14ac:dyDescent="0.25">
      <c r="L2338" s="65">
        <v>481962</v>
      </c>
      <c r="M2338" t="s">
        <v>1920</v>
      </c>
    </row>
    <row r="2339" spans="12:13" x14ac:dyDescent="0.25">
      <c r="L2339" s="65">
        <v>481969</v>
      </c>
      <c r="M2339" t="s">
        <v>1921</v>
      </c>
    </row>
    <row r="2340" spans="12:13" x14ac:dyDescent="0.25">
      <c r="L2340" s="65">
        <v>481990</v>
      </c>
      <c r="M2340" t="s">
        <v>1910</v>
      </c>
    </row>
    <row r="2341" spans="12:13" x14ac:dyDescent="0.25">
      <c r="L2341" s="65">
        <v>481991</v>
      </c>
      <c r="M2341" t="s">
        <v>1910</v>
      </c>
    </row>
    <row r="2342" spans="12:13" x14ac:dyDescent="0.25">
      <c r="L2342" s="65">
        <v>482000</v>
      </c>
      <c r="M2342" t="s">
        <v>1922</v>
      </c>
    </row>
    <row r="2343" spans="12:13" x14ac:dyDescent="0.25">
      <c r="L2343" s="65">
        <v>482100</v>
      </c>
      <c r="M2343" t="s">
        <v>1923</v>
      </c>
    </row>
    <row r="2344" spans="12:13" x14ac:dyDescent="0.25">
      <c r="L2344" s="65">
        <v>482110</v>
      </c>
      <c r="M2344" t="s">
        <v>1924</v>
      </c>
    </row>
    <row r="2345" spans="12:13" x14ac:dyDescent="0.25">
      <c r="L2345" s="65">
        <v>482111</v>
      </c>
      <c r="M2345" t="s">
        <v>1925</v>
      </c>
    </row>
    <row r="2346" spans="12:13" x14ac:dyDescent="0.25">
      <c r="L2346" s="65">
        <v>482112</v>
      </c>
      <c r="M2346" t="s">
        <v>1926</v>
      </c>
    </row>
    <row r="2347" spans="12:13" x14ac:dyDescent="0.25">
      <c r="L2347" s="65">
        <v>482120</v>
      </c>
      <c r="M2347" t="s">
        <v>1927</v>
      </c>
    </row>
    <row r="2348" spans="12:13" x14ac:dyDescent="0.25">
      <c r="L2348" s="65">
        <v>482121</v>
      </c>
      <c r="M2348" t="s">
        <v>1928</v>
      </c>
    </row>
    <row r="2349" spans="12:13" x14ac:dyDescent="0.25">
      <c r="L2349" s="65">
        <v>482122</v>
      </c>
      <c r="M2349" t="s">
        <v>1929</v>
      </c>
    </row>
    <row r="2350" spans="12:13" x14ac:dyDescent="0.25">
      <c r="L2350" s="65">
        <v>482123</v>
      </c>
      <c r="M2350" t="s">
        <v>1930</v>
      </c>
    </row>
    <row r="2351" spans="12:13" x14ac:dyDescent="0.25">
      <c r="L2351" s="65">
        <v>482130</v>
      </c>
      <c r="M2351" t="s">
        <v>1931</v>
      </c>
    </row>
    <row r="2352" spans="12:13" x14ac:dyDescent="0.25">
      <c r="L2352" s="65">
        <v>482131</v>
      </c>
      <c r="M2352" t="s">
        <v>1932</v>
      </c>
    </row>
    <row r="2353" spans="12:13" x14ac:dyDescent="0.25">
      <c r="L2353" s="65">
        <v>482132</v>
      </c>
      <c r="M2353" t="s">
        <v>1933</v>
      </c>
    </row>
    <row r="2354" spans="12:13" x14ac:dyDescent="0.25">
      <c r="L2354" s="65">
        <v>482140</v>
      </c>
      <c r="M2354" t="s">
        <v>1934</v>
      </c>
    </row>
    <row r="2355" spans="12:13" x14ac:dyDescent="0.25">
      <c r="L2355" s="65">
        <v>482141</v>
      </c>
      <c r="M2355" t="s">
        <v>1935</v>
      </c>
    </row>
    <row r="2356" spans="12:13" x14ac:dyDescent="0.25">
      <c r="L2356" s="65">
        <v>482190</v>
      </c>
      <c r="M2356" t="s">
        <v>1923</v>
      </c>
    </row>
    <row r="2357" spans="12:13" x14ac:dyDescent="0.25">
      <c r="L2357" s="65">
        <v>482191</v>
      </c>
      <c r="M2357" t="s">
        <v>1923</v>
      </c>
    </row>
    <row r="2358" spans="12:13" x14ac:dyDescent="0.25">
      <c r="L2358" s="65">
        <v>482200</v>
      </c>
      <c r="M2358" t="s">
        <v>1936</v>
      </c>
    </row>
    <row r="2359" spans="12:13" x14ac:dyDescent="0.25">
      <c r="L2359" s="65">
        <v>482210</v>
      </c>
      <c r="M2359" t="s">
        <v>1130</v>
      </c>
    </row>
    <row r="2360" spans="12:13" x14ac:dyDescent="0.25">
      <c r="L2360" s="65">
        <v>482211</v>
      </c>
      <c r="M2360" t="s">
        <v>1130</v>
      </c>
    </row>
    <row r="2361" spans="12:13" x14ac:dyDescent="0.25">
      <c r="L2361" s="65">
        <v>482220</v>
      </c>
      <c r="M2361" t="s">
        <v>1131</v>
      </c>
    </row>
    <row r="2362" spans="12:13" x14ac:dyDescent="0.25">
      <c r="L2362" s="65">
        <v>482221</v>
      </c>
      <c r="M2362" t="s">
        <v>1131</v>
      </c>
    </row>
    <row r="2363" spans="12:13" x14ac:dyDescent="0.25">
      <c r="L2363" s="65">
        <v>482230</v>
      </c>
      <c r="M2363" t="s">
        <v>1132</v>
      </c>
    </row>
    <row r="2364" spans="12:13" x14ac:dyDescent="0.25">
      <c r="L2364" s="65">
        <v>482231</v>
      </c>
      <c r="M2364" t="s">
        <v>1132</v>
      </c>
    </row>
    <row r="2365" spans="12:13" x14ac:dyDescent="0.25">
      <c r="L2365" s="65">
        <v>482240</v>
      </c>
      <c r="M2365" t="s">
        <v>1133</v>
      </c>
    </row>
    <row r="2366" spans="12:13" x14ac:dyDescent="0.25">
      <c r="L2366" s="65">
        <v>482241</v>
      </c>
      <c r="M2366" t="s">
        <v>1133</v>
      </c>
    </row>
    <row r="2367" spans="12:13" x14ac:dyDescent="0.25">
      <c r="L2367" s="65">
        <v>482250</v>
      </c>
      <c r="M2367" t="s">
        <v>1134</v>
      </c>
    </row>
    <row r="2368" spans="12:13" x14ac:dyDescent="0.25">
      <c r="L2368" s="65">
        <v>482251</v>
      </c>
      <c r="M2368" t="s">
        <v>1134</v>
      </c>
    </row>
    <row r="2369" spans="12:13" x14ac:dyDescent="0.25">
      <c r="L2369" s="65">
        <v>482300</v>
      </c>
      <c r="M2369" t="s">
        <v>1937</v>
      </c>
    </row>
    <row r="2370" spans="12:13" x14ac:dyDescent="0.25">
      <c r="L2370" s="65">
        <v>482310</v>
      </c>
      <c r="M2370" t="s">
        <v>1938</v>
      </c>
    </row>
    <row r="2371" spans="12:13" x14ac:dyDescent="0.25">
      <c r="L2371" s="65">
        <v>482311</v>
      </c>
      <c r="M2371" t="s">
        <v>1136</v>
      </c>
    </row>
    <row r="2372" spans="12:13" x14ac:dyDescent="0.25">
      <c r="L2372" s="65">
        <v>482312</v>
      </c>
      <c r="M2372" t="s">
        <v>1939</v>
      </c>
    </row>
    <row r="2373" spans="12:13" x14ac:dyDescent="0.25">
      <c r="L2373" s="65">
        <v>482320</v>
      </c>
      <c r="M2373" t="s">
        <v>1137</v>
      </c>
    </row>
    <row r="2374" spans="12:13" x14ac:dyDescent="0.25">
      <c r="L2374" s="65">
        <v>482321</v>
      </c>
      <c r="M2374" t="s">
        <v>1137</v>
      </c>
    </row>
    <row r="2375" spans="12:13" x14ac:dyDescent="0.25">
      <c r="L2375" s="65">
        <v>482330</v>
      </c>
      <c r="M2375" t="s">
        <v>1138</v>
      </c>
    </row>
    <row r="2376" spans="12:13" x14ac:dyDescent="0.25">
      <c r="L2376" s="65">
        <v>482331</v>
      </c>
      <c r="M2376" t="s">
        <v>1138</v>
      </c>
    </row>
    <row r="2377" spans="12:13" x14ac:dyDescent="0.25">
      <c r="L2377" s="65">
        <v>482340</v>
      </c>
      <c r="M2377" t="s">
        <v>1139</v>
      </c>
    </row>
    <row r="2378" spans="12:13" x14ac:dyDescent="0.25">
      <c r="L2378" s="65">
        <v>482341</v>
      </c>
      <c r="M2378" t="s">
        <v>1139</v>
      </c>
    </row>
    <row r="2379" spans="12:13" x14ac:dyDescent="0.25">
      <c r="L2379" s="65">
        <v>483000</v>
      </c>
      <c r="M2379" t="s">
        <v>1940</v>
      </c>
    </row>
    <row r="2380" spans="12:13" x14ac:dyDescent="0.25">
      <c r="L2380" s="65">
        <v>483100</v>
      </c>
      <c r="M2380" t="s">
        <v>1940</v>
      </c>
    </row>
    <row r="2381" spans="12:13" x14ac:dyDescent="0.25">
      <c r="L2381" s="65">
        <v>483110</v>
      </c>
      <c r="M2381" t="s">
        <v>1940</v>
      </c>
    </row>
    <row r="2382" spans="12:13" x14ac:dyDescent="0.25">
      <c r="L2382" s="65">
        <v>483111</v>
      </c>
      <c r="M2382" t="s">
        <v>1940</v>
      </c>
    </row>
    <row r="2383" spans="12:13" x14ac:dyDescent="0.25">
      <c r="L2383" s="65">
        <v>484000</v>
      </c>
      <c r="M2383" t="s">
        <v>1941</v>
      </c>
    </row>
    <row r="2384" spans="12:13" x14ac:dyDescent="0.25">
      <c r="L2384" s="65">
        <v>484100</v>
      </c>
      <c r="M2384" t="s">
        <v>1942</v>
      </c>
    </row>
    <row r="2385" spans="12:13" x14ac:dyDescent="0.25">
      <c r="L2385" s="65">
        <v>484110</v>
      </c>
      <c r="M2385" t="s">
        <v>1942</v>
      </c>
    </row>
    <row r="2386" spans="12:13" x14ac:dyDescent="0.25">
      <c r="L2386" s="65">
        <v>484111</v>
      </c>
      <c r="M2386" t="s">
        <v>1942</v>
      </c>
    </row>
    <row r="2387" spans="12:13" x14ac:dyDescent="0.25">
      <c r="L2387" s="65">
        <v>484200</v>
      </c>
      <c r="M2387" t="s">
        <v>1943</v>
      </c>
    </row>
    <row r="2388" spans="12:13" x14ac:dyDescent="0.25">
      <c r="L2388" s="65">
        <v>484210</v>
      </c>
      <c r="M2388" t="s">
        <v>1943</v>
      </c>
    </row>
    <row r="2389" spans="12:13" x14ac:dyDescent="0.25">
      <c r="L2389" s="65">
        <v>484211</v>
      </c>
      <c r="M2389" t="s">
        <v>1943</v>
      </c>
    </row>
    <row r="2390" spans="12:13" x14ac:dyDescent="0.25">
      <c r="L2390" s="65">
        <v>485000</v>
      </c>
      <c r="M2390" t="s">
        <v>1944</v>
      </c>
    </row>
    <row r="2391" spans="12:13" x14ac:dyDescent="0.25">
      <c r="L2391" s="65">
        <v>485100</v>
      </c>
      <c r="M2391" t="s">
        <v>1944</v>
      </c>
    </row>
    <row r="2392" spans="12:13" x14ac:dyDescent="0.25">
      <c r="L2392" s="65">
        <v>485110</v>
      </c>
      <c r="M2392" t="s">
        <v>1944</v>
      </c>
    </row>
    <row r="2393" spans="12:13" x14ac:dyDescent="0.25">
      <c r="L2393" s="65">
        <v>485111</v>
      </c>
      <c r="M2393" t="s">
        <v>1945</v>
      </c>
    </row>
    <row r="2394" spans="12:13" x14ac:dyDescent="0.25">
      <c r="L2394" s="65">
        <v>485119</v>
      </c>
      <c r="M2394" t="s">
        <v>1946</v>
      </c>
    </row>
    <row r="2395" spans="12:13" x14ac:dyDescent="0.25">
      <c r="L2395" s="65">
        <v>489000</v>
      </c>
      <c r="M2395" t="s">
        <v>1947</v>
      </c>
    </row>
    <row r="2396" spans="12:13" x14ac:dyDescent="0.25">
      <c r="L2396" s="65">
        <v>489100</v>
      </c>
      <c r="M2396" t="s">
        <v>1947</v>
      </c>
    </row>
    <row r="2397" spans="12:13" x14ac:dyDescent="0.25">
      <c r="L2397" s="65">
        <v>489110</v>
      </c>
      <c r="M2397" t="s">
        <v>1947</v>
      </c>
    </row>
    <row r="2398" spans="12:13" x14ac:dyDescent="0.25">
      <c r="L2398" s="65">
        <v>489111</v>
      </c>
      <c r="M2398" t="s">
        <v>1947</v>
      </c>
    </row>
    <row r="2399" spans="12:13" x14ac:dyDescent="0.25">
      <c r="L2399" s="65">
        <v>490000</v>
      </c>
      <c r="M2399" t="s">
        <v>1948</v>
      </c>
    </row>
    <row r="2400" spans="12:13" x14ac:dyDescent="0.25">
      <c r="L2400" s="65">
        <v>494000</v>
      </c>
      <c r="M2400" t="s">
        <v>1266</v>
      </c>
    </row>
    <row r="2401" spans="12:13" x14ac:dyDescent="0.25">
      <c r="L2401" s="65">
        <v>494100</v>
      </c>
      <c r="M2401" t="s">
        <v>1267</v>
      </c>
    </row>
    <row r="2402" spans="12:13" x14ac:dyDescent="0.25">
      <c r="L2402" s="65">
        <v>494110</v>
      </c>
      <c r="M2402" t="s">
        <v>1269</v>
      </c>
    </row>
    <row r="2403" spans="12:13" x14ac:dyDescent="0.25">
      <c r="L2403" s="65">
        <v>494111</v>
      </c>
      <c r="M2403" t="s">
        <v>1269</v>
      </c>
    </row>
    <row r="2404" spans="12:13" x14ac:dyDescent="0.25">
      <c r="L2404" s="65">
        <v>494120</v>
      </c>
      <c r="M2404" t="s">
        <v>1288</v>
      </c>
    </row>
    <row r="2405" spans="12:13" x14ac:dyDescent="0.25">
      <c r="L2405" s="65">
        <v>494121</v>
      </c>
      <c r="M2405" t="s">
        <v>1289</v>
      </c>
    </row>
    <row r="2406" spans="12:13" x14ac:dyDescent="0.25">
      <c r="L2406" s="65">
        <v>494122</v>
      </c>
      <c r="M2406" t="s">
        <v>1292</v>
      </c>
    </row>
    <row r="2407" spans="12:13" x14ac:dyDescent="0.25">
      <c r="L2407" s="65">
        <v>494123</v>
      </c>
      <c r="M2407" t="s">
        <v>1949</v>
      </c>
    </row>
    <row r="2408" spans="12:13" x14ac:dyDescent="0.25">
      <c r="L2408" s="65">
        <v>494130</v>
      </c>
      <c r="M2408" t="s">
        <v>1295</v>
      </c>
    </row>
    <row r="2409" spans="12:13" x14ac:dyDescent="0.25">
      <c r="L2409" s="65">
        <v>494131</v>
      </c>
      <c r="M2409" t="s">
        <v>1295</v>
      </c>
    </row>
    <row r="2410" spans="12:13" x14ac:dyDescent="0.25">
      <c r="L2410" s="65">
        <v>494140</v>
      </c>
      <c r="M2410" t="s">
        <v>1310</v>
      </c>
    </row>
    <row r="2411" spans="12:13" x14ac:dyDescent="0.25">
      <c r="L2411" s="65">
        <v>494141</v>
      </c>
      <c r="M2411" t="s">
        <v>1950</v>
      </c>
    </row>
    <row r="2412" spans="12:13" x14ac:dyDescent="0.25">
      <c r="L2412" s="65">
        <v>494142</v>
      </c>
      <c r="M2412" t="s">
        <v>1315</v>
      </c>
    </row>
    <row r="2413" spans="12:13" x14ac:dyDescent="0.25">
      <c r="L2413" s="65">
        <v>494143</v>
      </c>
      <c r="M2413" t="s">
        <v>1316</v>
      </c>
    </row>
    <row r="2414" spans="12:13" x14ac:dyDescent="0.25">
      <c r="L2414" s="65">
        <v>494144</v>
      </c>
      <c r="M2414" t="s">
        <v>1320</v>
      </c>
    </row>
    <row r="2415" spans="12:13" x14ac:dyDescent="0.25">
      <c r="L2415" s="65">
        <v>494150</v>
      </c>
      <c r="M2415" t="s">
        <v>1324</v>
      </c>
    </row>
    <row r="2416" spans="12:13" x14ac:dyDescent="0.25">
      <c r="L2416" s="65">
        <v>494151</v>
      </c>
      <c r="M2416" t="s">
        <v>1324</v>
      </c>
    </row>
    <row r="2417" spans="12:13" x14ac:dyDescent="0.25">
      <c r="L2417" s="65">
        <v>494160</v>
      </c>
      <c r="M2417" t="s">
        <v>1330</v>
      </c>
    </row>
    <row r="2418" spans="12:13" x14ac:dyDescent="0.25">
      <c r="L2418" s="65">
        <v>494161</v>
      </c>
      <c r="M2418" t="s">
        <v>1330</v>
      </c>
    </row>
    <row r="2419" spans="12:13" x14ac:dyDescent="0.25">
      <c r="L2419" s="65">
        <v>494170</v>
      </c>
      <c r="M2419" t="s">
        <v>1340</v>
      </c>
    </row>
    <row r="2420" spans="12:13" x14ac:dyDescent="0.25">
      <c r="L2420" s="65">
        <v>494171</v>
      </c>
      <c r="M2420" t="s">
        <v>1340</v>
      </c>
    </row>
    <row r="2421" spans="12:13" x14ac:dyDescent="0.25">
      <c r="L2421" s="65">
        <v>494180</v>
      </c>
      <c r="M2421" t="s">
        <v>1341</v>
      </c>
    </row>
    <row r="2422" spans="12:13" x14ac:dyDescent="0.25">
      <c r="L2422" s="65">
        <v>494181</v>
      </c>
      <c r="M2422" t="s">
        <v>1341</v>
      </c>
    </row>
    <row r="2423" spans="12:13" x14ac:dyDescent="0.25">
      <c r="L2423" s="65">
        <v>494200</v>
      </c>
      <c r="M2423" t="s">
        <v>1342</v>
      </c>
    </row>
    <row r="2424" spans="12:13" x14ac:dyDescent="0.25">
      <c r="L2424" s="65">
        <v>494210</v>
      </c>
      <c r="M2424" t="s">
        <v>1343</v>
      </c>
    </row>
    <row r="2425" spans="12:13" x14ac:dyDescent="0.25">
      <c r="L2425" s="65">
        <v>494211</v>
      </c>
      <c r="M2425" t="s">
        <v>1344</v>
      </c>
    </row>
    <row r="2426" spans="12:13" x14ac:dyDescent="0.25">
      <c r="L2426" s="65">
        <v>494212</v>
      </c>
      <c r="M2426" t="s">
        <v>1347</v>
      </c>
    </row>
    <row r="2427" spans="12:13" x14ac:dyDescent="0.25">
      <c r="L2427" s="65">
        <v>494213</v>
      </c>
      <c r="M2427" t="s">
        <v>1355</v>
      </c>
    </row>
    <row r="2428" spans="12:13" x14ac:dyDescent="0.25">
      <c r="L2428" s="65">
        <v>494214</v>
      </c>
      <c r="M2428" t="s">
        <v>1366</v>
      </c>
    </row>
    <row r="2429" spans="12:13" x14ac:dyDescent="0.25">
      <c r="L2429" s="65">
        <v>494215</v>
      </c>
      <c r="M2429" t="s">
        <v>1377</v>
      </c>
    </row>
    <row r="2430" spans="12:13" x14ac:dyDescent="0.25">
      <c r="L2430" s="65">
        <v>494216</v>
      </c>
      <c r="M2430" t="s">
        <v>1387</v>
      </c>
    </row>
    <row r="2431" spans="12:13" x14ac:dyDescent="0.25">
      <c r="L2431" s="65">
        <v>494219</v>
      </c>
      <c r="M2431" t="s">
        <v>1402</v>
      </c>
    </row>
    <row r="2432" spans="12:13" x14ac:dyDescent="0.25">
      <c r="L2432" s="65">
        <v>494220</v>
      </c>
      <c r="M2432" t="s">
        <v>1405</v>
      </c>
    </row>
    <row r="2433" spans="12:13" x14ac:dyDescent="0.25">
      <c r="L2433" s="65">
        <v>494221</v>
      </c>
      <c r="M2433" t="s">
        <v>1406</v>
      </c>
    </row>
    <row r="2434" spans="12:13" x14ac:dyDescent="0.25">
      <c r="L2434" s="65">
        <v>494222</v>
      </c>
      <c r="M2434" t="s">
        <v>1416</v>
      </c>
    </row>
    <row r="2435" spans="12:13" x14ac:dyDescent="0.25">
      <c r="L2435" s="65">
        <v>494223</v>
      </c>
      <c r="M2435" t="s">
        <v>1422</v>
      </c>
    </row>
    <row r="2436" spans="12:13" x14ac:dyDescent="0.25">
      <c r="L2436" s="65">
        <v>494224</v>
      </c>
      <c r="M2436" t="s">
        <v>1431</v>
      </c>
    </row>
    <row r="2437" spans="12:13" x14ac:dyDescent="0.25">
      <c r="L2437" s="65">
        <v>494229</v>
      </c>
      <c r="M2437" t="s">
        <v>1434</v>
      </c>
    </row>
    <row r="2438" spans="12:13" x14ac:dyDescent="0.25">
      <c r="L2438" s="65">
        <v>494230</v>
      </c>
      <c r="M2438" t="s">
        <v>1436</v>
      </c>
    </row>
    <row r="2439" spans="12:13" x14ac:dyDescent="0.25">
      <c r="L2439" s="65">
        <v>494231</v>
      </c>
      <c r="M2439" t="s">
        <v>1437</v>
      </c>
    </row>
    <row r="2440" spans="12:13" x14ac:dyDescent="0.25">
      <c r="L2440" s="65">
        <v>494232</v>
      </c>
      <c r="M2440" t="s">
        <v>1442</v>
      </c>
    </row>
    <row r="2441" spans="12:13" x14ac:dyDescent="0.25">
      <c r="L2441" s="65">
        <v>494233</v>
      </c>
      <c r="M2441" t="s">
        <v>1448</v>
      </c>
    </row>
    <row r="2442" spans="12:13" x14ac:dyDescent="0.25">
      <c r="L2442" s="65">
        <v>494234</v>
      </c>
      <c r="M2442" t="s">
        <v>1456</v>
      </c>
    </row>
    <row r="2443" spans="12:13" x14ac:dyDescent="0.25">
      <c r="L2443" s="65">
        <v>494235</v>
      </c>
      <c r="M2443" t="s">
        <v>1471</v>
      </c>
    </row>
    <row r="2444" spans="12:13" x14ac:dyDescent="0.25">
      <c r="L2444" s="65">
        <v>494236</v>
      </c>
      <c r="M2444" t="s">
        <v>1484</v>
      </c>
    </row>
    <row r="2445" spans="12:13" x14ac:dyDescent="0.25">
      <c r="L2445" s="65">
        <v>494237</v>
      </c>
      <c r="M2445" t="s">
        <v>1489</v>
      </c>
    </row>
    <row r="2446" spans="12:13" x14ac:dyDescent="0.25">
      <c r="L2446" s="65">
        <v>494239</v>
      </c>
      <c r="M2446" t="s">
        <v>1491</v>
      </c>
    </row>
    <row r="2447" spans="12:13" x14ac:dyDescent="0.25">
      <c r="L2447" s="65">
        <v>494240</v>
      </c>
      <c r="M2447" t="s">
        <v>1492</v>
      </c>
    </row>
    <row r="2448" spans="12:13" x14ac:dyDescent="0.25">
      <c r="L2448" s="65">
        <v>494241</v>
      </c>
      <c r="M2448" t="s">
        <v>1493</v>
      </c>
    </row>
    <row r="2449" spans="12:13" x14ac:dyDescent="0.25">
      <c r="L2449" s="65">
        <v>494242</v>
      </c>
      <c r="M2449" t="s">
        <v>1499</v>
      </c>
    </row>
    <row r="2450" spans="12:13" x14ac:dyDescent="0.25">
      <c r="L2450" s="65">
        <v>494243</v>
      </c>
      <c r="M2450" t="s">
        <v>1505</v>
      </c>
    </row>
    <row r="2451" spans="12:13" x14ac:dyDescent="0.25">
      <c r="L2451" s="65">
        <v>494244</v>
      </c>
      <c r="M2451" t="s">
        <v>1511</v>
      </c>
    </row>
    <row r="2452" spans="12:13" x14ac:dyDescent="0.25">
      <c r="L2452" s="65">
        <v>494245</v>
      </c>
      <c r="M2452" t="s">
        <v>1512</v>
      </c>
    </row>
    <row r="2453" spans="12:13" x14ac:dyDescent="0.25">
      <c r="L2453" s="65">
        <v>494246</v>
      </c>
      <c r="M2453" t="s">
        <v>1513</v>
      </c>
    </row>
    <row r="2454" spans="12:13" x14ac:dyDescent="0.25">
      <c r="L2454" s="65">
        <v>494249</v>
      </c>
      <c r="M2454" t="s">
        <v>1517</v>
      </c>
    </row>
    <row r="2455" spans="12:13" x14ac:dyDescent="0.25">
      <c r="L2455" s="65">
        <v>494250</v>
      </c>
      <c r="M2455" t="s">
        <v>1518</v>
      </c>
    </row>
    <row r="2456" spans="12:13" x14ac:dyDescent="0.25">
      <c r="L2456" s="65">
        <v>494251</v>
      </c>
      <c r="M2456" t="s">
        <v>1519</v>
      </c>
    </row>
    <row r="2457" spans="12:13" x14ac:dyDescent="0.25">
      <c r="L2457" s="65">
        <v>494252</v>
      </c>
      <c r="M2457" t="s">
        <v>1530</v>
      </c>
    </row>
    <row r="2458" spans="12:13" x14ac:dyDescent="0.25">
      <c r="L2458" s="65">
        <v>494260</v>
      </c>
      <c r="M2458" t="s">
        <v>1557</v>
      </c>
    </row>
    <row r="2459" spans="12:13" x14ac:dyDescent="0.25">
      <c r="L2459" s="65">
        <v>494261</v>
      </c>
      <c r="M2459" t="s">
        <v>1558</v>
      </c>
    </row>
    <row r="2460" spans="12:13" x14ac:dyDescent="0.25">
      <c r="L2460" s="65">
        <v>494262</v>
      </c>
      <c r="M2460" t="s">
        <v>1951</v>
      </c>
    </row>
    <row r="2461" spans="12:13" x14ac:dyDescent="0.25">
      <c r="L2461" s="65">
        <v>494263</v>
      </c>
      <c r="M2461" t="s">
        <v>1952</v>
      </c>
    </row>
    <row r="2462" spans="12:13" x14ac:dyDescent="0.25">
      <c r="L2462" s="65">
        <v>494264</v>
      </c>
      <c r="M2462" t="s">
        <v>1953</v>
      </c>
    </row>
    <row r="2463" spans="12:13" x14ac:dyDescent="0.25">
      <c r="L2463" s="65">
        <v>494265</v>
      </c>
      <c r="M2463" t="s">
        <v>1954</v>
      </c>
    </row>
    <row r="2464" spans="12:13" x14ac:dyDescent="0.25">
      <c r="L2464" s="65">
        <v>494266</v>
      </c>
      <c r="M2464" t="s">
        <v>1955</v>
      </c>
    </row>
    <row r="2465" spans="12:13" x14ac:dyDescent="0.25">
      <c r="L2465" s="65">
        <v>494267</v>
      </c>
      <c r="M2465" t="s">
        <v>1597</v>
      </c>
    </row>
    <row r="2466" spans="12:13" x14ac:dyDescent="0.25">
      <c r="L2466" s="65">
        <v>494268</v>
      </c>
      <c r="M2466" t="s">
        <v>1956</v>
      </c>
    </row>
    <row r="2467" spans="12:13" x14ac:dyDescent="0.25">
      <c r="L2467" s="65">
        <v>494269</v>
      </c>
      <c r="M2467" t="s">
        <v>1957</v>
      </c>
    </row>
    <row r="2468" spans="12:13" x14ac:dyDescent="0.25">
      <c r="L2468" s="65">
        <v>494300</v>
      </c>
      <c r="M2468" t="s">
        <v>1621</v>
      </c>
    </row>
    <row r="2469" spans="12:13" x14ac:dyDescent="0.25">
      <c r="L2469" s="65">
        <v>494310</v>
      </c>
      <c r="M2469" t="s">
        <v>1622</v>
      </c>
    </row>
    <row r="2470" spans="12:13" x14ac:dyDescent="0.25">
      <c r="L2470" s="65">
        <v>494311</v>
      </c>
      <c r="M2470" t="s">
        <v>1623</v>
      </c>
    </row>
    <row r="2471" spans="12:13" x14ac:dyDescent="0.25">
      <c r="L2471" s="65">
        <v>494312</v>
      </c>
      <c r="M2471" t="s">
        <v>1624</v>
      </c>
    </row>
    <row r="2472" spans="12:13" x14ac:dyDescent="0.25">
      <c r="L2472" s="65">
        <v>494313</v>
      </c>
      <c r="M2472" t="s">
        <v>1625</v>
      </c>
    </row>
    <row r="2473" spans="12:13" x14ac:dyDescent="0.25">
      <c r="L2473" s="65">
        <v>494320</v>
      </c>
      <c r="M2473" t="s">
        <v>1626</v>
      </c>
    </row>
    <row r="2474" spans="12:13" x14ac:dyDescent="0.25">
      <c r="L2474" s="65">
        <v>494321</v>
      </c>
      <c r="M2474" t="s">
        <v>1626</v>
      </c>
    </row>
    <row r="2475" spans="12:13" x14ac:dyDescent="0.25">
      <c r="L2475" s="65">
        <v>494330</v>
      </c>
      <c r="M2475" t="s">
        <v>1628</v>
      </c>
    </row>
    <row r="2476" spans="12:13" x14ac:dyDescent="0.25">
      <c r="L2476" s="65">
        <v>494331</v>
      </c>
      <c r="M2476" t="s">
        <v>1629</v>
      </c>
    </row>
    <row r="2477" spans="12:13" x14ac:dyDescent="0.25">
      <c r="L2477" s="65">
        <v>494340</v>
      </c>
      <c r="M2477" t="s">
        <v>1630</v>
      </c>
    </row>
    <row r="2478" spans="12:13" x14ac:dyDescent="0.25">
      <c r="L2478" s="65">
        <v>494341</v>
      </c>
      <c r="M2478" t="s">
        <v>1631</v>
      </c>
    </row>
    <row r="2479" spans="12:13" x14ac:dyDescent="0.25">
      <c r="L2479" s="65">
        <v>494342</v>
      </c>
      <c r="M2479" t="s">
        <v>1632</v>
      </c>
    </row>
    <row r="2480" spans="12:13" x14ac:dyDescent="0.25">
      <c r="L2480" s="65">
        <v>494343</v>
      </c>
      <c r="M2480" t="s">
        <v>1633</v>
      </c>
    </row>
    <row r="2481" spans="12:13" x14ac:dyDescent="0.25">
      <c r="L2481" s="65">
        <v>494350</v>
      </c>
      <c r="M2481" t="s">
        <v>1636</v>
      </c>
    </row>
    <row r="2482" spans="12:13" x14ac:dyDescent="0.25">
      <c r="L2482" s="65">
        <v>494351</v>
      </c>
      <c r="M2482" t="s">
        <v>1636</v>
      </c>
    </row>
    <row r="2483" spans="12:13" x14ac:dyDescent="0.25">
      <c r="L2483" s="65">
        <v>494400</v>
      </c>
      <c r="M2483" t="s">
        <v>1637</v>
      </c>
    </row>
    <row r="2484" spans="12:13" x14ac:dyDescent="0.25">
      <c r="L2484" s="65">
        <v>494410</v>
      </c>
      <c r="M2484" t="s">
        <v>1958</v>
      </c>
    </row>
    <row r="2485" spans="12:13" x14ac:dyDescent="0.25">
      <c r="L2485" s="65">
        <v>494411</v>
      </c>
      <c r="M2485" t="s">
        <v>1639</v>
      </c>
    </row>
    <row r="2486" spans="12:13" x14ac:dyDescent="0.25">
      <c r="L2486" s="65">
        <v>494412</v>
      </c>
      <c r="M2486" t="s">
        <v>1642</v>
      </c>
    </row>
    <row r="2487" spans="12:13" x14ac:dyDescent="0.25">
      <c r="L2487" s="65">
        <v>494413</v>
      </c>
      <c r="M2487" t="s">
        <v>1651</v>
      </c>
    </row>
    <row r="2488" spans="12:13" x14ac:dyDescent="0.25">
      <c r="L2488" s="65">
        <v>494414</v>
      </c>
      <c r="M2488" t="s">
        <v>1959</v>
      </c>
    </row>
    <row r="2489" spans="12:13" x14ac:dyDescent="0.25">
      <c r="L2489" s="65">
        <v>494415</v>
      </c>
      <c r="M2489" t="s">
        <v>1960</v>
      </c>
    </row>
    <row r="2490" spans="12:13" x14ac:dyDescent="0.25">
      <c r="L2490" s="65">
        <v>494416</v>
      </c>
      <c r="M2490" t="s">
        <v>1961</v>
      </c>
    </row>
    <row r="2491" spans="12:13" x14ac:dyDescent="0.25">
      <c r="L2491" s="65">
        <v>494417</v>
      </c>
      <c r="M2491" t="s">
        <v>1657</v>
      </c>
    </row>
    <row r="2492" spans="12:13" x14ac:dyDescent="0.25">
      <c r="L2492" s="65">
        <v>494418</v>
      </c>
      <c r="M2492" t="s">
        <v>1962</v>
      </c>
    </row>
    <row r="2493" spans="12:13" x14ac:dyDescent="0.25">
      <c r="L2493" s="65">
        <v>494420</v>
      </c>
      <c r="M2493" t="s">
        <v>1661</v>
      </c>
    </row>
    <row r="2494" spans="12:13" x14ac:dyDescent="0.25">
      <c r="L2494" s="65">
        <v>494421</v>
      </c>
      <c r="M2494" t="s">
        <v>1662</v>
      </c>
    </row>
    <row r="2495" spans="12:13" x14ac:dyDescent="0.25">
      <c r="L2495" s="65">
        <v>494422</v>
      </c>
      <c r="M2495" t="s">
        <v>1666</v>
      </c>
    </row>
    <row r="2496" spans="12:13" x14ac:dyDescent="0.25">
      <c r="L2496" s="65">
        <v>494423</v>
      </c>
      <c r="M2496" t="s">
        <v>1670</v>
      </c>
    </row>
    <row r="2497" spans="12:13" x14ac:dyDescent="0.25">
      <c r="L2497" s="65">
        <v>494424</v>
      </c>
      <c r="M2497" t="s">
        <v>1677</v>
      </c>
    </row>
    <row r="2498" spans="12:13" x14ac:dyDescent="0.25">
      <c r="L2498" s="65">
        <v>494425</v>
      </c>
      <c r="M2498" t="s">
        <v>1680</v>
      </c>
    </row>
    <row r="2499" spans="12:13" x14ac:dyDescent="0.25">
      <c r="L2499" s="65">
        <v>494426</v>
      </c>
      <c r="M2499" t="s">
        <v>1681</v>
      </c>
    </row>
    <row r="2500" spans="12:13" x14ac:dyDescent="0.25">
      <c r="L2500" s="65">
        <v>494430</v>
      </c>
      <c r="M2500" t="s">
        <v>1682</v>
      </c>
    </row>
    <row r="2501" spans="12:13" x14ac:dyDescent="0.25">
      <c r="L2501" s="65">
        <v>494431</v>
      </c>
      <c r="M2501" t="s">
        <v>1682</v>
      </c>
    </row>
    <row r="2502" spans="12:13" x14ac:dyDescent="0.25">
      <c r="L2502" s="65">
        <v>494440</v>
      </c>
      <c r="M2502" t="s">
        <v>1683</v>
      </c>
    </row>
    <row r="2503" spans="12:13" x14ac:dyDescent="0.25">
      <c r="L2503" s="65">
        <v>494441</v>
      </c>
      <c r="M2503" t="s">
        <v>1684</v>
      </c>
    </row>
    <row r="2504" spans="12:13" x14ac:dyDescent="0.25">
      <c r="L2504" s="65">
        <v>494442</v>
      </c>
      <c r="M2504" t="s">
        <v>1685</v>
      </c>
    </row>
    <row r="2505" spans="12:13" x14ac:dyDescent="0.25">
      <c r="L2505" s="65">
        <v>494443</v>
      </c>
      <c r="M2505" t="s">
        <v>1688</v>
      </c>
    </row>
    <row r="2506" spans="12:13" x14ac:dyDescent="0.25">
      <c r="L2506" s="65">
        <v>494500</v>
      </c>
      <c r="M2506" t="s">
        <v>1689</v>
      </c>
    </row>
    <row r="2507" spans="12:13" x14ac:dyDescent="0.25">
      <c r="L2507" s="65">
        <v>494510</v>
      </c>
      <c r="M2507" t="s">
        <v>1690</v>
      </c>
    </row>
    <row r="2508" spans="12:13" x14ac:dyDescent="0.25">
      <c r="L2508" s="65">
        <v>494511</v>
      </c>
      <c r="M2508" t="s">
        <v>1691</v>
      </c>
    </row>
    <row r="2509" spans="12:13" x14ac:dyDescent="0.25">
      <c r="L2509" s="65">
        <v>494512</v>
      </c>
      <c r="M2509" t="s">
        <v>1700</v>
      </c>
    </row>
    <row r="2510" spans="12:13" x14ac:dyDescent="0.25">
      <c r="L2510" s="65">
        <v>494520</v>
      </c>
      <c r="M2510" t="s">
        <v>1707</v>
      </c>
    </row>
    <row r="2511" spans="12:13" x14ac:dyDescent="0.25">
      <c r="L2511" s="65">
        <v>494521</v>
      </c>
      <c r="M2511" t="s">
        <v>1708</v>
      </c>
    </row>
    <row r="2512" spans="12:13" x14ac:dyDescent="0.25">
      <c r="L2512" s="65">
        <v>494522</v>
      </c>
      <c r="M2512" t="s">
        <v>1711</v>
      </c>
    </row>
    <row r="2513" spans="12:13" x14ac:dyDescent="0.25">
      <c r="L2513" s="65">
        <v>494530</v>
      </c>
      <c r="M2513" t="s">
        <v>1714</v>
      </c>
    </row>
    <row r="2514" spans="12:13" x14ac:dyDescent="0.25">
      <c r="L2514" s="65">
        <v>494531</v>
      </c>
      <c r="M2514" t="s">
        <v>1715</v>
      </c>
    </row>
    <row r="2515" spans="12:13" x14ac:dyDescent="0.25">
      <c r="L2515" s="65">
        <v>494532</v>
      </c>
      <c r="M2515" t="s">
        <v>1719</v>
      </c>
    </row>
    <row r="2516" spans="12:13" x14ac:dyDescent="0.25">
      <c r="L2516" s="65">
        <v>494540</v>
      </c>
      <c r="M2516" t="s">
        <v>1722</v>
      </c>
    </row>
    <row r="2517" spans="12:13" x14ac:dyDescent="0.25">
      <c r="L2517" s="65">
        <v>494541</v>
      </c>
      <c r="M2517" t="s">
        <v>1723</v>
      </c>
    </row>
    <row r="2518" spans="12:13" x14ac:dyDescent="0.25">
      <c r="L2518" s="65">
        <v>494542</v>
      </c>
      <c r="M2518" t="s">
        <v>1724</v>
      </c>
    </row>
    <row r="2519" spans="12:13" x14ac:dyDescent="0.25">
      <c r="L2519" s="65">
        <v>494700</v>
      </c>
      <c r="M2519" t="s">
        <v>1963</v>
      </c>
    </row>
    <row r="2520" spans="12:13" x14ac:dyDescent="0.25">
      <c r="L2520" s="65">
        <v>494710</v>
      </c>
      <c r="M2520" t="s">
        <v>1780</v>
      </c>
    </row>
    <row r="2521" spans="12:13" x14ac:dyDescent="0.25">
      <c r="L2521" s="65">
        <v>494711</v>
      </c>
      <c r="M2521" t="s">
        <v>1781</v>
      </c>
    </row>
    <row r="2522" spans="12:13" x14ac:dyDescent="0.25">
      <c r="L2522" s="65">
        <v>494712</v>
      </c>
      <c r="M2522" t="s">
        <v>1816</v>
      </c>
    </row>
    <row r="2523" spans="12:13" x14ac:dyDescent="0.25">
      <c r="L2523" s="65">
        <v>494719</v>
      </c>
      <c r="M2523" t="s">
        <v>1849</v>
      </c>
    </row>
    <row r="2524" spans="12:13" x14ac:dyDescent="0.25">
      <c r="L2524" s="65">
        <v>494720</v>
      </c>
      <c r="M2524" t="s">
        <v>1865</v>
      </c>
    </row>
    <row r="2525" spans="12:13" x14ac:dyDescent="0.25">
      <c r="L2525" s="65">
        <v>494721</v>
      </c>
      <c r="M2525" t="s">
        <v>1866</v>
      </c>
    </row>
    <row r="2526" spans="12:13" x14ac:dyDescent="0.25">
      <c r="L2526" s="65">
        <v>494722</v>
      </c>
      <c r="M2526" t="s">
        <v>1872</v>
      </c>
    </row>
    <row r="2527" spans="12:13" x14ac:dyDescent="0.25">
      <c r="L2527" s="65">
        <v>494723</v>
      </c>
      <c r="M2527" t="s">
        <v>1873</v>
      </c>
    </row>
    <row r="2528" spans="12:13" x14ac:dyDescent="0.25">
      <c r="L2528" s="65">
        <v>494724</v>
      </c>
      <c r="M2528" t="s">
        <v>1964</v>
      </c>
    </row>
    <row r="2529" spans="12:13" x14ac:dyDescent="0.25">
      <c r="L2529" s="65">
        <v>494725</v>
      </c>
      <c r="M2529" t="s">
        <v>1875</v>
      </c>
    </row>
    <row r="2530" spans="12:13" x14ac:dyDescent="0.25">
      <c r="L2530" s="65">
        <v>494726</v>
      </c>
      <c r="M2530" t="s">
        <v>1878</v>
      </c>
    </row>
    <row r="2531" spans="12:13" x14ac:dyDescent="0.25">
      <c r="L2531" s="65">
        <v>494727</v>
      </c>
      <c r="M2531" t="s">
        <v>1879</v>
      </c>
    </row>
    <row r="2532" spans="12:13" x14ac:dyDescent="0.25">
      <c r="L2532" s="65">
        <v>494728</v>
      </c>
      <c r="M2532" t="s">
        <v>1895</v>
      </c>
    </row>
    <row r="2533" spans="12:13" x14ac:dyDescent="0.25">
      <c r="L2533" s="65">
        <v>494729</v>
      </c>
      <c r="M2533" t="s">
        <v>1965</v>
      </c>
    </row>
    <row r="2534" spans="12:13" x14ac:dyDescent="0.25">
      <c r="L2534" s="65">
        <v>494800</v>
      </c>
      <c r="M2534" t="s">
        <v>1901</v>
      </c>
    </row>
    <row r="2535" spans="12:13" x14ac:dyDescent="0.25">
      <c r="L2535" s="65">
        <v>494810</v>
      </c>
      <c r="M2535" t="s">
        <v>1902</v>
      </c>
    </row>
    <row r="2536" spans="12:13" x14ac:dyDescent="0.25">
      <c r="L2536" s="65">
        <v>494811</v>
      </c>
      <c r="M2536" t="s">
        <v>1903</v>
      </c>
    </row>
    <row r="2537" spans="12:13" x14ac:dyDescent="0.25">
      <c r="L2537" s="65">
        <v>494819</v>
      </c>
      <c r="M2537" t="s">
        <v>1910</v>
      </c>
    </row>
    <row r="2538" spans="12:13" x14ac:dyDescent="0.25">
      <c r="L2538" s="65">
        <v>494820</v>
      </c>
      <c r="M2538" t="s">
        <v>1966</v>
      </c>
    </row>
    <row r="2539" spans="12:13" x14ac:dyDescent="0.25">
      <c r="L2539" s="65">
        <v>494821</v>
      </c>
      <c r="M2539" t="s">
        <v>1923</v>
      </c>
    </row>
    <row r="2540" spans="12:13" x14ac:dyDescent="0.25">
      <c r="L2540" s="65">
        <v>494822</v>
      </c>
      <c r="M2540" t="s">
        <v>1936</v>
      </c>
    </row>
    <row r="2541" spans="12:13" x14ac:dyDescent="0.25">
      <c r="L2541" s="65">
        <v>494823</v>
      </c>
      <c r="M2541" t="s">
        <v>1937</v>
      </c>
    </row>
    <row r="2542" spans="12:13" x14ac:dyDescent="0.25">
      <c r="L2542" s="65">
        <v>494830</v>
      </c>
      <c r="M2542" t="s">
        <v>1940</v>
      </c>
    </row>
    <row r="2543" spans="12:13" x14ac:dyDescent="0.25">
      <c r="L2543" s="65">
        <v>494831</v>
      </c>
      <c r="M2543" t="s">
        <v>1940</v>
      </c>
    </row>
    <row r="2544" spans="12:13" x14ac:dyDescent="0.25">
      <c r="L2544" s="65">
        <v>494840</v>
      </c>
      <c r="M2544" t="s">
        <v>1941</v>
      </c>
    </row>
    <row r="2545" spans="12:13" x14ac:dyDescent="0.25">
      <c r="L2545" s="65">
        <v>494841</v>
      </c>
      <c r="M2545" t="s">
        <v>1942</v>
      </c>
    </row>
    <row r="2546" spans="12:13" x14ac:dyDescent="0.25">
      <c r="L2546" s="65">
        <v>494842</v>
      </c>
      <c r="M2546" t="s">
        <v>1943</v>
      </c>
    </row>
    <row r="2547" spans="12:13" x14ac:dyDescent="0.25">
      <c r="L2547" s="65">
        <v>494850</v>
      </c>
      <c r="M2547" t="s">
        <v>1944</v>
      </c>
    </row>
    <row r="2548" spans="12:13" x14ac:dyDescent="0.25">
      <c r="L2548" s="65">
        <v>494851</v>
      </c>
      <c r="M2548" t="s">
        <v>1944</v>
      </c>
    </row>
    <row r="2549" spans="12:13" x14ac:dyDescent="0.25">
      <c r="L2549" s="65">
        <v>495000</v>
      </c>
      <c r="M2549" t="s">
        <v>1967</v>
      </c>
    </row>
    <row r="2550" spans="12:13" x14ac:dyDescent="0.25">
      <c r="L2550" s="65">
        <v>495100</v>
      </c>
      <c r="M2550" t="s">
        <v>1201</v>
      </c>
    </row>
    <row r="2551" spans="12:13" x14ac:dyDescent="0.25">
      <c r="L2551" s="65">
        <v>495110</v>
      </c>
      <c r="M2551" t="s">
        <v>269</v>
      </c>
    </row>
    <row r="2552" spans="12:13" x14ac:dyDescent="0.25">
      <c r="L2552" s="65">
        <v>495111</v>
      </c>
      <c r="M2552" t="s">
        <v>1968</v>
      </c>
    </row>
    <row r="2553" spans="12:13" x14ac:dyDescent="0.25">
      <c r="L2553" s="65">
        <v>495112</v>
      </c>
      <c r="M2553" t="s">
        <v>1969</v>
      </c>
    </row>
    <row r="2554" spans="12:13" x14ac:dyDescent="0.25">
      <c r="L2554" s="65">
        <v>495113</v>
      </c>
      <c r="M2554" t="s">
        <v>1970</v>
      </c>
    </row>
    <row r="2555" spans="12:13" x14ac:dyDescent="0.25">
      <c r="L2555" s="65">
        <v>495114</v>
      </c>
      <c r="M2555" t="s">
        <v>1971</v>
      </c>
    </row>
    <row r="2556" spans="12:13" x14ac:dyDescent="0.25">
      <c r="L2556" s="65">
        <v>495120</v>
      </c>
      <c r="M2556" t="s">
        <v>1972</v>
      </c>
    </row>
    <row r="2557" spans="12:13" x14ac:dyDescent="0.25">
      <c r="L2557" s="65">
        <v>495121</v>
      </c>
      <c r="M2557" t="s">
        <v>326</v>
      </c>
    </row>
    <row r="2558" spans="12:13" x14ac:dyDescent="0.25">
      <c r="L2558" s="65">
        <v>495122</v>
      </c>
      <c r="M2558" t="s">
        <v>335</v>
      </c>
    </row>
    <row r="2559" spans="12:13" x14ac:dyDescent="0.25">
      <c r="L2559" s="65">
        <v>495123</v>
      </c>
      <c r="M2559" t="s">
        <v>345</v>
      </c>
    </row>
    <row r="2560" spans="12:13" x14ac:dyDescent="0.25">
      <c r="L2560" s="65">
        <v>495124</v>
      </c>
      <c r="M2560" t="s">
        <v>350</v>
      </c>
    </row>
    <row r="2561" spans="12:13" x14ac:dyDescent="0.25">
      <c r="L2561" s="65">
        <v>495125</v>
      </c>
      <c r="M2561" t="s">
        <v>355</v>
      </c>
    </row>
    <row r="2562" spans="12:13" x14ac:dyDescent="0.25">
      <c r="L2562" s="65">
        <v>495126</v>
      </c>
      <c r="M2562" t="s">
        <v>364</v>
      </c>
    </row>
    <row r="2563" spans="12:13" x14ac:dyDescent="0.25">
      <c r="L2563" s="65">
        <v>495127</v>
      </c>
      <c r="M2563" t="s">
        <v>373</v>
      </c>
    </row>
    <row r="2564" spans="12:13" x14ac:dyDescent="0.25">
      <c r="L2564" s="65">
        <v>495128</v>
      </c>
      <c r="M2564" t="s">
        <v>378</v>
      </c>
    </row>
    <row r="2565" spans="12:13" x14ac:dyDescent="0.25">
      <c r="L2565" s="65">
        <v>495129</v>
      </c>
      <c r="M2565" t="s">
        <v>383</v>
      </c>
    </row>
    <row r="2566" spans="12:13" x14ac:dyDescent="0.25">
      <c r="L2566" s="65">
        <v>495130</v>
      </c>
      <c r="M2566" t="s">
        <v>392</v>
      </c>
    </row>
    <row r="2567" spans="12:13" x14ac:dyDescent="0.25">
      <c r="L2567" s="65">
        <v>495131</v>
      </c>
      <c r="M2567" t="s">
        <v>392</v>
      </c>
    </row>
    <row r="2568" spans="12:13" x14ac:dyDescent="0.25">
      <c r="L2568" s="65">
        <v>495140</v>
      </c>
      <c r="M2568" t="s">
        <v>397</v>
      </c>
    </row>
    <row r="2569" spans="12:13" x14ac:dyDescent="0.25">
      <c r="L2569" s="65">
        <v>495141</v>
      </c>
      <c r="M2569" t="s">
        <v>397</v>
      </c>
    </row>
    <row r="2570" spans="12:13" x14ac:dyDescent="0.25">
      <c r="L2570" s="65">
        <v>495150</v>
      </c>
      <c r="M2570" t="s">
        <v>489</v>
      </c>
    </row>
    <row r="2571" spans="12:13" x14ac:dyDescent="0.25">
      <c r="L2571" s="65">
        <v>495151</v>
      </c>
      <c r="M2571" t="s">
        <v>489</v>
      </c>
    </row>
    <row r="2572" spans="12:13" x14ac:dyDescent="0.25">
      <c r="L2572" s="65">
        <v>495200</v>
      </c>
      <c r="M2572" t="s">
        <v>521</v>
      </c>
    </row>
    <row r="2573" spans="12:13" x14ac:dyDescent="0.25">
      <c r="L2573" s="65">
        <v>495210</v>
      </c>
      <c r="M2573" t="s">
        <v>522</v>
      </c>
    </row>
    <row r="2574" spans="12:13" x14ac:dyDescent="0.25">
      <c r="L2574" s="65">
        <v>495211</v>
      </c>
      <c r="M2574" t="s">
        <v>522</v>
      </c>
    </row>
    <row r="2575" spans="12:13" x14ac:dyDescent="0.25">
      <c r="L2575" s="65">
        <v>495220</v>
      </c>
      <c r="M2575" t="s">
        <v>526</v>
      </c>
    </row>
    <row r="2576" spans="12:13" x14ac:dyDescent="0.25">
      <c r="L2576" s="65">
        <v>495221</v>
      </c>
      <c r="M2576" t="s">
        <v>1973</v>
      </c>
    </row>
    <row r="2577" spans="12:13" x14ac:dyDescent="0.25">
      <c r="L2577" s="65">
        <v>495222</v>
      </c>
      <c r="M2577" t="s">
        <v>1205</v>
      </c>
    </row>
    <row r="2578" spans="12:13" x14ac:dyDescent="0.25">
      <c r="L2578" s="65">
        <v>495223</v>
      </c>
      <c r="M2578" t="s">
        <v>1206</v>
      </c>
    </row>
    <row r="2579" spans="12:13" x14ac:dyDescent="0.25">
      <c r="L2579" s="65">
        <v>495230</v>
      </c>
      <c r="M2579" t="s">
        <v>1207</v>
      </c>
    </row>
    <row r="2580" spans="12:13" x14ac:dyDescent="0.25">
      <c r="L2580" s="65">
        <v>495231</v>
      </c>
      <c r="M2580" t="s">
        <v>1207</v>
      </c>
    </row>
    <row r="2581" spans="12:13" x14ac:dyDescent="0.25">
      <c r="L2581" s="65">
        <v>495300</v>
      </c>
      <c r="M2581" t="s">
        <v>403</v>
      </c>
    </row>
    <row r="2582" spans="12:13" x14ac:dyDescent="0.25">
      <c r="L2582" s="65">
        <v>495310</v>
      </c>
      <c r="M2582" t="s">
        <v>403</v>
      </c>
    </row>
    <row r="2583" spans="12:13" x14ac:dyDescent="0.25">
      <c r="L2583" s="65">
        <v>495311</v>
      </c>
      <c r="M2583" t="s">
        <v>403</v>
      </c>
    </row>
    <row r="2584" spans="12:13" x14ac:dyDescent="0.25">
      <c r="L2584" s="65">
        <v>495400</v>
      </c>
      <c r="M2584" t="s">
        <v>412</v>
      </c>
    </row>
    <row r="2585" spans="12:13" x14ac:dyDescent="0.25">
      <c r="L2585" s="65">
        <v>495410</v>
      </c>
      <c r="M2585" t="s">
        <v>413</v>
      </c>
    </row>
    <row r="2586" spans="12:13" x14ac:dyDescent="0.25">
      <c r="L2586" s="65">
        <v>495411</v>
      </c>
      <c r="M2586" t="s">
        <v>413</v>
      </c>
    </row>
    <row r="2587" spans="12:13" x14ac:dyDescent="0.25">
      <c r="L2587" s="65">
        <v>495420</v>
      </c>
      <c r="M2587" t="s">
        <v>1974</v>
      </c>
    </row>
    <row r="2588" spans="12:13" x14ac:dyDescent="0.25">
      <c r="L2588" s="65">
        <v>495421</v>
      </c>
      <c r="M2588" t="s">
        <v>423</v>
      </c>
    </row>
    <row r="2589" spans="12:13" x14ac:dyDescent="0.25">
      <c r="L2589" s="65">
        <v>495430</v>
      </c>
      <c r="M2589" t="s">
        <v>429</v>
      </c>
    </row>
    <row r="2590" spans="12:13" x14ac:dyDescent="0.25">
      <c r="L2590" s="65">
        <v>495431</v>
      </c>
      <c r="M2590" t="s">
        <v>430</v>
      </c>
    </row>
    <row r="2591" spans="12:13" x14ac:dyDescent="0.25">
      <c r="L2591" s="65">
        <v>495432</v>
      </c>
      <c r="M2591" t="s">
        <v>434</v>
      </c>
    </row>
    <row r="2592" spans="12:13" x14ac:dyDescent="0.25">
      <c r="L2592" s="65">
        <v>496000</v>
      </c>
      <c r="M2592" t="s">
        <v>1975</v>
      </c>
    </row>
    <row r="2593" spans="12:13" x14ac:dyDescent="0.25">
      <c r="L2593" s="65">
        <v>496100</v>
      </c>
      <c r="M2593" t="s">
        <v>1976</v>
      </c>
    </row>
    <row r="2594" spans="12:13" x14ac:dyDescent="0.25">
      <c r="L2594" s="65">
        <v>496110</v>
      </c>
      <c r="M2594" t="s">
        <v>1977</v>
      </c>
    </row>
    <row r="2595" spans="12:13" x14ac:dyDescent="0.25">
      <c r="L2595" s="65">
        <v>496111</v>
      </c>
      <c r="M2595" t="s">
        <v>1978</v>
      </c>
    </row>
    <row r="2596" spans="12:13" x14ac:dyDescent="0.25">
      <c r="L2596" s="65">
        <v>496112</v>
      </c>
      <c r="M2596" t="s">
        <v>1979</v>
      </c>
    </row>
    <row r="2597" spans="12:13" x14ac:dyDescent="0.25">
      <c r="L2597" s="65">
        <v>496113</v>
      </c>
      <c r="M2597" t="s">
        <v>1980</v>
      </c>
    </row>
    <row r="2598" spans="12:13" x14ac:dyDescent="0.25">
      <c r="L2598" s="65">
        <v>496114</v>
      </c>
      <c r="M2598" t="s">
        <v>1981</v>
      </c>
    </row>
    <row r="2599" spans="12:13" x14ac:dyDescent="0.25">
      <c r="L2599" s="65">
        <v>496115</v>
      </c>
      <c r="M2599" t="s">
        <v>1982</v>
      </c>
    </row>
    <row r="2600" spans="12:13" x14ac:dyDescent="0.25">
      <c r="L2600" s="65">
        <v>496116</v>
      </c>
      <c r="M2600" t="s">
        <v>1983</v>
      </c>
    </row>
    <row r="2601" spans="12:13" x14ac:dyDescent="0.25">
      <c r="L2601" s="65">
        <v>496117</v>
      </c>
      <c r="M2601" t="s">
        <v>1984</v>
      </c>
    </row>
    <row r="2602" spans="12:13" x14ac:dyDescent="0.25">
      <c r="L2602" s="65">
        <v>496118</v>
      </c>
      <c r="M2602" t="s">
        <v>1985</v>
      </c>
    </row>
    <row r="2603" spans="12:13" x14ac:dyDescent="0.25">
      <c r="L2603" s="65">
        <v>496119</v>
      </c>
      <c r="M2603" t="s">
        <v>1986</v>
      </c>
    </row>
    <row r="2604" spans="12:13" x14ac:dyDescent="0.25">
      <c r="L2604" s="65">
        <v>496120</v>
      </c>
      <c r="M2604" t="s">
        <v>1987</v>
      </c>
    </row>
    <row r="2605" spans="12:13" x14ac:dyDescent="0.25">
      <c r="L2605" s="65">
        <v>496121</v>
      </c>
      <c r="M2605" t="s">
        <v>1988</v>
      </c>
    </row>
    <row r="2606" spans="12:13" x14ac:dyDescent="0.25">
      <c r="L2606" s="65">
        <v>496122</v>
      </c>
      <c r="M2606" t="s">
        <v>1989</v>
      </c>
    </row>
    <row r="2607" spans="12:13" x14ac:dyDescent="0.25">
      <c r="L2607" s="65">
        <v>496123</v>
      </c>
      <c r="M2607" t="s">
        <v>1990</v>
      </c>
    </row>
    <row r="2608" spans="12:13" x14ac:dyDescent="0.25">
      <c r="L2608" s="65">
        <v>496124</v>
      </c>
      <c r="M2608" t="s">
        <v>1991</v>
      </c>
    </row>
    <row r="2609" spans="12:13" x14ac:dyDescent="0.25">
      <c r="L2609" s="65">
        <v>496125</v>
      </c>
      <c r="M2609" t="s">
        <v>1992</v>
      </c>
    </row>
    <row r="2610" spans="12:13" x14ac:dyDescent="0.25">
      <c r="L2610" s="65">
        <v>496126</v>
      </c>
      <c r="M2610" t="s">
        <v>1993</v>
      </c>
    </row>
    <row r="2611" spans="12:13" x14ac:dyDescent="0.25">
      <c r="L2611" s="65">
        <v>496129</v>
      </c>
      <c r="M2611" t="s">
        <v>1994</v>
      </c>
    </row>
    <row r="2612" spans="12:13" x14ac:dyDescent="0.25">
      <c r="L2612" s="65">
        <v>496130</v>
      </c>
      <c r="M2612" t="s">
        <v>1995</v>
      </c>
    </row>
    <row r="2613" spans="12:13" x14ac:dyDescent="0.25">
      <c r="L2613" s="65">
        <v>496131</v>
      </c>
      <c r="M2613" t="s">
        <v>1995</v>
      </c>
    </row>
    <row r="2614" spans="12:13" x14ac:dyDescent="0.25">
      <c r="L2614" s="65">
        <v>496140</v>
      </c>
      <c r="M2614" t="s">
        <v>1996</v>
      </c>
    </row>
    <row r="2615" spans="12:13" x14ac:dyDescent="0.25">
      <c r="L2615" s="65">
        <v>496141</v>
      </c>
      <c r="M2615" t="s">
        <v>1996</v>
      </c>
    </row>
    <row r="2616" spans="12:13" x14ac:dyDescent="0.25">
      <c r="L2616" s="65">
        <v>496200</v>
      </c>
      <c r="M2616" t="s">
        <v>1997</v>
      </c>
    </row>
    <row r="2617" spans="12:13" x14ac:dyDescent="0.25">
      <c r="L2617" s="65">
        <v>496210</v>
      </c>
      <c r="M2617" t="s">
        <v>1998</v>
      </c>
    </row>
    <row r="2618" spans="12:13" x14ac:dyDescent="0.25">
      <c r="L2618" s="65">
        <v>496211</v>
      </c>
      <c r="M2618" t="s">
        <v>1999</v>
      </c>
    </row>
    <row r="2619" spans="12:13" x14ac:dyDescent="0.25">
      <c r="L2619" s="65">
        <v>496212</v>
      </c>
      <c r="M2619" t="s">
        <v>566</v>
      </c>
    </row>
    <row r="2620" spans="12:13" x14ac:dyDescent="0.25">
      <c r="L2620" s="65">
        <v>496213</v>
      </c>
      <c r="M2620" t="s">
        <v>581</v>
      </c>
    </row>
    <row r="2621" spans="12:13" x14ac:dyDescent="0.25">
      <c r="L2621" s="65">
        <v>496214</v>
      </c>
      <c r="M2621" t="s">
        <v>588</v>
      </c>
    </row>
    <row r="2622" spans="12:13" x14ac:dyDescent="0.25">
      <c r="L2622" s="65">
        <v>496215</v>
      </c>
      <c r="M2622" t="s">
        <v>590</v>
      </c>
    </row>
    <row r="2623" spans="12:13" x14ac:dyDescent="0.25">
      <c r="L2623" s="65">
        <v>496216</v>
      </c>
      <c r="M2623" t="s">
        <v>592</v>
      </c>
    </row>
    <row r="2624" spans="12:13" x14ac:dyDescent="0.25">
      <c r="L2624" s="65">
        <v>496217</v>
      </c>
      <c r="M2624" t="s">
        <v>2000</v>
      </c>
    </row>
    <row r="2625" spans="12:13" x14ac:dyDescent="0.25">
      <c r="L2625" s="65">
        <v>496218</v>
      </c>
      <c r="M2625" t="s">
        <v>601</v>
      </c>
    </row>
    <row r="2626" spans="12:13" x14ac:dyDescent="0.25">
      <c r="L2626" s="65">
        <v>496219</v>
      </c>
      <c r="M2626" t="s">
        <v>2001</v>
      </c>
    </row>
    <row r="2627" spans="12:13" x14ac:dyDescent="0.25">
      <c r="L2627" s="65">
        <v>496220</v>
      </c>
      <c r="M2627" t="s">
        <v>2002</v>
      </c>
    </row>
    <row r="2628" spans="12:13" x14ac:dyDescent="0.25">
      <c r="L2628" s="65">
        <v>496221</v>
      </c>
      <c r="M2628" t="s">
        <v>2003</v>
      </c>
    </row>
    <row r="2629" spans="12:13" x14ac:dyDescent="0.25">
      <c r="L2629" s="65">
        <v>496222</v>
      </c>
      <c r="M2629" t="s">
        <v>618</v>
      </c>
    </row>
    <row r="2630" spans="12:13" x14ac:dyDescent="0.25">
      <c r="L2630" s="65">
        <v>496223</v>
      </c>
      <c r="M2630" t="s">
        <v>620</v>
      </c>
    </row>
    <row r="2631" spans="12:13" x14ac:dyDescent="0.25">
      <c r="L2631" s="65">
        <v>496224</v>
      </c>
      <c r="M2631" t="s">
        <v>622</v>
      </c>
    </row>
    <row r="2632" spans="12:13" x14ac:dyDescent="0.25">
      <c r="L2632" s="65">
        <v>496225</v>
      </c>
      <c r="M2632" t="s">
        <v>624</v>
      </c>
    </row>
    <row r="2633" spans="12:13" x14ac:dyDescent="0.25">
      <c r="L2633" s="65">
        <v>496226</v>
      </c>
      <c r="M2633" t="s">
        <v>626</v>
      </c>
    </row>
    <row r="2634" spans="12:13" x14ac:dyDescent="0.25">
      <c r="L2634" s="65">
        <v>496227</v>
      </c>
      <c r="M2634" t="s">
        <v>2004</v>
      </c>
    </row>
    <row r="2635" spans="12:13" x14ac:dyDescent="0.25">
      <c r="L2635" s="65">
        <v>496228</v>
      </c>
      <c r="M2635" t="s">
        <v>2005</v>
      </c>
    </row>
    <row r="2636" spans="12:13" x14ac:dyDescent="0.25">
      <c r="L2636" s="65">
        <v>499000</v>
      </c>
      <c r="M2636" t="s">
        <v>2006</v>
      </c>
    </row>
    <row r="2637" spans="12:13" x14ac:dyDescent="0.25">
      <c r="L2637" s="65">
        <v>499100</v>
      </c>
      <c r="M2637" t="s">
        <v>2006</v>
      </c>
    </row>
    <row r="2638" spans="12:13" x14ac:dyDescent="0.25">
      <c r="L2638" s="65">
        <v>499110</v>
      </c>
      <c r="M2638" t="s">
        <v>2007</v>
      </c>
    </row>
    <row r="2639" spans="12:13" x14ac:dyDescent="0.25">
      <c r="L2639" s="65">
        <v>499111</v>
      </c>
      <c r="M2639" t="s">
        <v>2007</v>
      </c>
    </row>
    <row r="2640" spans="12:13" x14ac:dyDescent="0.25">
      <c r="L2640" s="65">
        <v>499120</v>
      </c>
      <c r="M2640" t="s">
        <v>2008</v>
      </c>
    </row>
    <row r="2641" spans="12:13" x14ac:dyDescent="0.25">
      <c r="L2641" s="65">
        <v>499121</v>
      </c>
      <c r="M2641" t="s">
        <v>2008</v>
      </c>
    </row>
    <row r="2642" spans="12:13" x14ac:dyDescent="0.25">
      <c r="L2642" s="65">
        <v>500000</v>
      </c>
      <c r="M2642" t="s">
        <v>1967</v>
      </c>
    </row>
    <row r="2643" spans="12:13" x14ac:dyDescent="0.25">
      <c r="L2643" s="65">
        <v>510000</v>
      </c>
      <c r="M2643" t="s">
        <v>1201</v>
      </c>
    </row>
    <row r="2644" spans="12:13" x14ac:dyDescent="0.25">
      <c r="L2644" s="65">
        <v>511000</v>
      </c>
      <c r="M2644" t="s">
        <v>269</v>
      </c>
    </row>
    <row r="2645" spans="12:13" x14ac:dyDescent="0.25">
      <c r="L2645" s="65">
        <v>511100</v>
      </c>
      <c r="M2645" t="s">
        <v>1968</v>
      </c>
    </row>
    <row r="2646" spans="12:13" x14ac:dyDescent="0.25">
      <c r="L2646" s="65">
        <v>511110</v>
      </c>
      <c r="M2646" t="s">
        <v>2009</v>
      </c>
    </row>
    <row r="2647" spans="12:13" x14ac:dyDescent="0.25">
      <c r="L2647" s="65">
        <v>511111</v>
      </c>
      <c r="M2647" t="s">
        <v>2010</v>
      </c>
    </row>
    <row r="2648" spans="12:13" x14ac:dyDescent="0.25">
      <c r="L2648" s="65">
        <v>511112</v>
      </c>
      <c r="M2648" t="s">
        <v>2011</v>
      </c>
    </row>
    <row r="2649" spans="12:13" x14ac:dyDescent="0.25">
      <c r="L2649" s="65">
        <v>511113</v>
      </c>
      <c r="M2649" t="s">
        <v>2012</v>
      </c>
    </row>
    <row r="2650" spans="12:13" x14ac:dyDescent="0.25">
      <c r="L2650" s="65">
        <v>511118</v>
      </c>
      <c r="M2650" t="s">
        <v>2013</v>
      </c>
    </row>
    <row r="2651" spans="12:13" x14ac:dyDescent="0.25">
      <c r="L2651" s="65">
        <v>511119</v>
      </c>
      <c r="M2651" t="s">
        <v>2014</v>
      </c>
    </row>
    <row r="2652" spans="12:13" x14ac:dyDescent="0.25">
      <c r="L2652" s="65">
        <v>511120</v>
      </c>
      <c r="M2652" t="s">
        <v>2015</v>
      </c>
    </row>
    <row r="2653" spans="12:13" x14ac:dyDescent="0.25">
      <c r="L2653" s="65">
        <v>511121</v>
      </c>
      <c r="M2653" t="s">
        <v>2016</v>
      </c>
    </row>
    <row r="2654" spans="12:13" x14ac:dyDescent="0.25">
      <c r="L2654" s="65">
        <v>511122</v>
      </c>
      <c r="M2654" t="s">
        <v>2017</v>
      </c>
    </row>
    <row r="2655" spans="12:13" x14ac:dyDescent="0.25">
      <c r="L2655" s="65">
        <v>511123</v>
      </c>
      <c r="M2655" t="s">
        <v>2018</v>
      </c>
    </row>
    <row r="2656" spans="12:13" x14ac:dyDescent="0.25">
      <c r="L2656" s="65">
        <v>511124</v>
      </c>
      <c r="M2656" t="s">
        <v>2019</v>
      </c>
    </row>
    <row r="2657" spans="12:13" x14ac:dyDescent="0.25">
      <c r="L2657" s="65">
        <v>511125</v>
      </c>
      <c r="M2657" t="s">
        <v>2020</v>
      </c>
    </row>
    <row r="2658" spans="12:13" x14ac:dyDescent="0.25">
      <c r="L2658" s="65">
        <v>511126</v>
      </c>
      <c r="M2658" t="s">
        <v>2021</v>
      </c>
    </row>
    <row r="2659" spans="12:13" x14ac:dyDescent="0.25">
      <c r="L2659" s="65">
        <v>511127</v>
      </c>
      <c r="M2659" t="s">
        <v>2022</v>
      </c>
    </row>
    <row r="2660" spans="12:13" x14ac:dyDescent="0.25">
      <c r="L2660" s="65">
        <v>511129</v>
      </c>
      <c r="M2660" t="s">
        <v>2023</v>
      </c>
    </row>
    <row r="2661" spans="12:13" x14ac:dyDescent="0.25">
      <c r="L2661" s="65">
        <v>511190</v>
      </c>
      <c r="M2661" t="s">
        <v>2024</v>
      </c>
    </row>
    <row r="2662" spans="12:13" x14ac:dyDescent="0.25">
      <c r="L2662" s="65">
        <v>511191</v>
      </c>
      <c r="M2662" t="s">
        <v>2025</v>
      </c>
    </row>
    <row r="2663" spans="12:13" x14ac:dyDescent="0.25">
      <c r="L2663" s="65">
        <v>511192</v>
      </c>
      <c r="M2663" t="s">
        <v>2026</v>
      </c>
    </row>
    <row r="2664" spans="12:13" x14ac:dyDescent="0.25">
      <c r="L2664" s="65">
        <v>511193</v>
      </c>
      <c r="M2664" t="s">
        <v>2027</v>
      </c>
    </row>
    <row r="2665" spans="12:13" x14ac:dyDescent="0.25">
      <c r="L2665" s="65">
        <v>511199</v>
      </c>
      <c r="M2665" t="s">
        <v>321</v>
      </c>
    </row>
    <row r="2666" spans="12:13" x14ac:dyDescent="0.25">
      <c r="L2666" s="65">
        <v>511200</v>
      </c>
      <c r="M2666" t="s">
        <v>1969</v>
      </c>
    </row>
    <row r="2667" spans="12:13" x14ac:dyDescent="0.25">
      <c r="L2667" s="65">
        <v>511210</v>
      </c>
      <c r="M2667" t="s">
        <v>2028</v>
      </c>
    </row>
    <row r="2668" spans="12:13" x14ac:dyDescent="0.25">
      <c r="L2668" s="65">
        <v>511211</v>
      </c>
      <c r="M2668" t="s">
        <v>2029</v>
      </c>
    </row>
    <row r="2669" spans="12:13" x14ac:dyDescent="0.25">
      <c r="L2669" s="65">
        <v>511212</v>
      </c>
      <c r="M2669" t="s">
        <v>2030</v>
      </c>
    </row>
    <row r="2670" spans="12:13" x14ac:dyDescent="0.25">
      <c r="L2670" s="65">
        <v>511213</v>
      </c>
      <c r="M2670" t="s">
        <v>2031</v>
      </c>
    </row>
    <row r="2671" spans="12:13" x14ac:dyDescent="0.25">
      <c r="L2671" s="65">
        <v>511219</v>
      </c>
      <c r="M2671" t="s">
        <v>2032</v>
      </c>
    </row>
    <row r="2672" spans="12:13" x14ac:dyDescent="0.25">
      <c r="L2672" s="65">
        <v>511220</v>
      </c>
      <c r="M2672" t="s">
        <v>2033</v>
      </c>
    </row>
    <row r="2673" spans="12:13" x14ac:dyDescent="0.25">
      <c r="L2673" s="65">
        <v>511221</v>
      </c>
      <c r="M2673" t="s">
        <v>2034</v>
      </c>
    </row>
    <row r="2674" spans="12:13" x14ac:dyDescent="0.25">
      <c r="L2674" s="65">
        <v>511222</v>
      </c>
      <c r="M2674" t="s">
        <v>280</v>
      </c>
    </row>
    <row r="2675" spans="12:13" x14ac:dyDescent="0.25">
      <c r="L2675" s="65">
        <v>511223</v>
      </c>
      <c r="M2675" t="s">
        <v>287</v>
      </c>
    </row>
    <row r="2676" spans="12:13" x14ac:dyDescent="0.25">
      <c r="L2676" s="65">
        <v>511224</v>
      </c>
      <c r="M2676" t="s">
        <v>2035</v>
      </c>
    </row>
    <row r="2677" spans="12:13" x14ac:dyDescent="0.25">
      <c r="L2677" s="65">
        <v>511225</v>
      </c>
      <c r="M2677" t="s">
        <v>2036</v>
      </c>
    </row>
    <row r="2678" spans="12:13" x14ac:dyDescent="0.25">
      <c r="L2678" s="65">
        <v>511226</v>
      </c>
      <c r="M2678" t="s">
        <v>2037</v>
      </c>
    </row>
    <row r="2679" spans="12:13" x14ac:dyDescent="0.25">
      <c r="L2679" s="65">
        <v>511227</v>
      </c>
      <c r="M2679" t="s">
        <v>290</v>
      </c>
    </row>
    <row r="2680" spans="12:13" x14ac:dyDescent="0.25">
      <c r="L2680" s="65">
        <v>511228</v>
      </c>
      <c r="M2680" t="s">
        <v>291</v>
      </c>
    </row>
    <row r="2681" spans="12:13" x14ac:dyDescent="0.25">
      <c r="L2681" s="65">
        <v>511230</v>
      </c>
      <c r="M2681" t="s">
        <v>2038</v>
      </c>
    </row>
    <row r="2682" spans="12:13" x14ac:dyDescent="0.25">
      <c r="L2682" s="65">
        <v>511231</v>
      </c>
      <c r="M2682" t="s">
        <v>2039</v>
      </c>
    </row>
    <row r="2683" spans="12:13" x14ac:dyDescent="0.25">
      <c r="L2683" s="65">
        <v>511232</v>
      </c>
      <c r="M2683" t="s">
        <v>298</v>
      </c>
    </row>
    <row r="2684" spans="12:13" x14ac:dyDescent="0.25">
      <c r="L2684" s="65">
        <v>511233</v>
      </c>
      <c r="M2684" t="s">
        <v>299</v>
      </c>
    </row>
    <row r="2685" spans="12:13" x14ac:dyDescent="0.25">
      <c r="L2685" s="65">
        <v>511240</v>
      </c>
      <c r="M2685" t="s">
        <v>2040</v>
      </c>
    </row>
    <row r="2686" spans="12:13" x14ac:dyDescent="0.25">
      <c r="L2686" s="65">
        <v>511241</v>
      </c>
      <c r="M2686" t="s">
        <v>306</v>
      </c>
    </row>
    <row r="2687" spans="12:13" x14ac:dyDescent="0.25">
      <c r="L2687" s="65">
        <v>511242</v>
      </c>
      <c r="M2687" t="s">
        <v>307</v>
      </c>
    </row>
    <row r="2688" spans="12:13" x14ac:dyDescent="0.25">
      <c r="L2688" s="65">
        <v>511243</v>
      </c>
      <c r="M2688" t="s">
        <v>308</v>
      </c>
    </row>
    <row r="2689" spans="12:13" x14ac:dyDescent="0.25">
      <c r="L2689" s="65">
        <v>511244</v>
      </c>
      <c r="M2689" t="s">
        <v>309</v>
      </c>
    </row>
    <row r="2690" spans="12:13" x14ac:dyDescent="0.25">
      <c r="L2690" s="65">
        <v>511290</v>
      </c>
      <c r="M2690" t="s">
        <v>2041</v>
      </c>
    </row>
    <row r="2691" spans="12:13" x14ac:dyDescent="0.25">
      <c r="L2691" s="65">
        <v>511291</v>
      </c>
      <c r="M2691" t="s">
        <v>2042</v>
      </c>
    </row>
    <row r="2692" spans="12:13" x14ac:dyDescent="0.25">
      <c r="L2692" s="65">
        <v>511292</v>
      </c>
      <c r="M2692" t="s">
        <v>317</v>
      </c>
    </row>
    <row r="2693" spans="12:13" x14ac:dyDescent="0.25">
      <c r="L2693" s="65">
        <v>511293</v>
      </c>
      <c r="M2693" t="s">
        <v>2043</v>
      </c>
    </row>
    <row r="2694" spans="12:13" x14ac:dyDescent="0.25">
      <c r="L2694" s="65">
        <v>511294</v>
      </c>
      <c r="M2694" t="s">
        <v>319</v>
      </c>
    </row>
    <row r="2695" spans="12:13" x14ac:dyDescent="0.25">
      <c r="L2695" s="65">
        <v>511295</v>
      </c>
      <c r="M2695" t="s">
        <v>320</v>
      </c>
    </row>
    <row r="2696" spans="12:13" x14ac:dyDescent="0.25">
      <c r="L2696" s="65">
        <v>511296</v>
      </c>
      <c r="M2696" t="s">
        <v>2044</v>
      </c>
    </row>
    <row r="2697" spans="12:13" x14ac:dyDescent="0.25">
      <c r="L2697" s="65">
        <v>511299</v>
      </c>
      <c r="M2697" t="s">
        <v>2041</v>
      </c>
    </row>
    <row r="2698" spans="12:13" x14ac:dyDescent="0.25">
      <c r="L2698" s="65">
        <v>511300</v>
      </c>
      <c r="M2698" t="s">
        <v>1970</v>
      </c>
    </row>
    <row r="2699" spans="12:13" x14ac:dyDescent="0.25">
      <c r="L2699" s="65">
        <v>511310</v>
      </c>
      <c r="M2699" t="s">
        <v>2045</v>
      </c>
    </row>
    <row r="2700" spans="12:13" x14ac:dyDescent="0.25">
      <c r="L2700" s="65">
        <v>511311</v>
      </c>
      <c r="M2700" t="s">
        <v>2046</v>
      </c>
    </row>
    <row r="2701" spans="12:13" x14ac:dyDescent="0.25">
      <c r="L2701" s="65">
        <v>511312</v>
      </c>
      <c r="M2701" t="s">
        <v>2047</v>
      </c>
    </row>
    <row r="2702" spans="12:13" x14ac:dyDescent="0.25">
      <c r="L2702" s="65">
        <v>511313</v>
      </c>
      <c r="M2702" t="s">
        <v>2048</v>
      </c>
    </row>
    <row r="2703" spans="12:13" x14ac:dyDescent="0.25">
      <c r="L2703" s="65">
        <v>511319</v>
      </c>
      <c r="M2703" t="s">
        <v>2049</v>
      </c>
    </row>
    <row r="2704" spans="12:13" x14ac:dyDescent="0.25">
      <c r="L2704" s="65">
        <v>511320</v>
      </c>
      <c r="M2704" t="s">
        <v>2050</v>
      </c>
    </row>
    <row r="2705" spans="12:13" x14ac:dyDescent="0.25">
      <c r="L2705" s="65">
        <v>511321</v>
      </c>
      <c r="M2705" t="s">
        <v>2050</v>
      </c>
    </row>
    <row r="2706" spans="12:13" x14ac:dyDescent="0.25">
      <c r="L2706" s="65">
        <v>511322</v>
      </c>
      <c r="M2706" t="s">
        <v>2051</v>
      </c>
    </row>
    <row r="2707" spans="12:13" x14ac:dyDescent="0.25">
      <c r="L2707" s="65">
        <v>511323</v>
      </c>
      <c r="M2707" t="s">
        <v>2052</v>
      </c>
    </row>
    <row r="2708" spans="12:13" x14ac:dyDescent="0.25">
      <c r="L2708" s="65">
        <v>511324</v>
      </c>
      <c r="M2708" t="s">
        <v>2053</v>
      </c>
    </row>
    <row r="2709" spans="12:13" x14ac:dyDescent="0.25">
      <c r="L2709" s="65">
        <v>511325</v>
      </c>
      <c r="M2709" t="s">
        <v>2054</v>
      </c>
    </row>
    <row r="2710" spans="12:13" x14ac:dyDescent="0.25">
      <c r="L2710" s="65">
        <v>511326</v>
      </c>
      <c r="M2710" t="s">
        <v>2055</v>
      </c>
    </row>
    <row r="2711" spans="12:13" x14ac:dyDescent="0.25">
      <c r="L2711" s="65">
        <v>511327</v>
      </c>
      <c r="M2711" t="s">
        <v>2056</v>
      </c>
    </row>
    <row r="2712" spans="12:13" x14ac:dyDescent="0.25">
      <c r="L2712" s="65">
        <v>511328</v>
      </c>
      <c r="M2712" t="s">
        <v>2057</v>
      </c>
    </row>
    <row r="2713" spans="12:13" x14ac:dyDescent="0.25">
      <c r="L2713" s="65">
        <v>511330</v>
      </c>
      <c r="M2713" t="s">
        <v>2058</v>
      </c>
    </row>
    <row r="2714" spans="12:13" x14ac:dyDescent="0.25">
      <c r="L2714" s="65">
        <v>511331</v>
      </c>
      <c r="M2714" t="s">
        <v>2059</v>
      </c>
    </row>
    <row r="2715" spans="12:13" x14ac:dyDescent="0.25">
      <c r="L2715" s="65">
        <v>511332</v>
      </c>
      <c r="M2715" t="s">
        <v>2060</v>
      </c>
    </row>
    <row r="2716" spans="12:13" x14ac:dyDescent="0.25">
      <c r="L2716" s="65">
        <v>511333</v>
      </c>
      <c r="M2716" t="s">
        <v>2061</v>
      </c>
    </row>
    <row r="2717" spans="12:13" x14ac:dyDescent="0.25">
      <c r="L2717" s="65">
        <v>511340</v>
      </c>
      <c r="M2717" t="s">
        <v>2062</v>
      </c>
    </row>
    <row r="2718" spans="12:13" x14ac:dyDescent="0.25">
      <c r="L2718" s="65">
        <v>511341</v>
      </c>
      <c r="M2718" t="s">
        <v>2063</v>
      </c>
    </row>
    <row r="2719" spans="12:13" x14ac:dyDescent="0.25">
      <c r="L2719" s="65">
        <v>511342</v>
      </c>
      <c r="M2719" t="s">
        <v>2064</v>
      </c>
    </row>
    <row r="2720" spans="12:13" x14ac:dyDescent="0.25">
      <c r="L2720" s="65">
        <v>511343</v>
      </c>
      <c r="M2720" t="s">
        <v>2065</v>
      </c>
    </row>
    <row r="2721" spans="12:13" x14ac:dyDescent="0.25">
      <c r="L2721" s="65">
        <v>511344</v>
      </c>
      <c r="M2721" t="s">
        <v>2066</v>
      </c>
    </row>
    <row r="2722" spans="12:13" x14ac:dyDescent="0.25">
      <c r="L2722" s="65">
        <v>511390</v>
      </c>
      <c r="M2722" t="s">
        <v>2067</v>
      </c>
    </row>
    <row r="2723" spans="12:13" x14ac:dyDescent="0.25">
      <c r="L2723" s="65">
        <v>511391</v>
      </c>
      <c r="M2723" t="s">
        <v>2068</v>
      </c>
    </row>
    <row r="2724" spans="12:13" x14ac:dyDescent="0.25">
      <c r="L2724" s="65">
        <v>511392</v>
      </c>
      <c r="M2724" t="s">
        <v>2069</v>
      </c>
    </row>
    <row r="2725" spans="12:13" x14ac:dyDescent="0.25">
      <c r="L2725" s="65">
        <v>511393</v>
      </c>
      <c r="M2725" t="s">
        <v>2070</v>
      </c>
    </row>
    <row r="2726" spans="12:13" x14ac:dyDescent="0.25">
      <c r="L2726" s="65">
        <v>511394</v>
      </c>
      <c r="M2726" t="s">
        <v>2071</v>
      </c>
    </row>
    <row r="2727" spans="12:13" x14ac:dyDescent="0.25">
      <c r="L2727" s="65">
        <v>511395</v>
      </c>
      <c r="M2727" t="s">
        <v>2072</v>
      </c>
    </row>
    <row r="2728" spans="12:13" x14ac:dyDescent="0.25">
      <c r="L2728" s="65">
        <v>511396</v>
      </c>
      <c r="M2728" t="s">
        <v>2073</v>
      </c>
    </row>
    <row r="2729" spans="12:13" x14ac:dyDescent="0.25">
      <c r="L2729" s="65">
        <v>511399</v>
      </c>
      <c r="M2729" t="s">
        <v>2067</v>
      </c>
    </row>
    <row r="2730" spans="12:13" x14ac:dyDescent="0.25">
      <c r="L2730" s="65">
        <v>511400</v>
      </c>
      <c r="M2730" t="s">
        <v>1971</v>
      </c>
    </row>
    <row r="2731" spans="12:13" x14ac:dyDescent="0.25">
      <c r="L2731" s="65">
        <v>511410</v>
      </c>
      <c r="M2731" t="s">
        <v>2074</v>
      </c>
    </row>
    <row r="2732" spans="12:13" x14ac:dyDescent="0.25">
      <c r="L2732" s="65">
        <v>511411</v>
      </c>
      <c r="M2732" t="s">
        <v>2074</v>
      </c>
    </row>
    <row r="2733" spans="12:13" x14ac:dyDescent="0.25">
      <c r="L2733" s="65">
        <v>511420</v>
      </c>
      <c r="M2733" t="s">
        <v>2075</v>
      </c>
    </row>
    <row r="2734" spans="12:13" x14ac:dyDescent="0.25">
      <c r="L2734" s="65">
        <v>511421</v>
      </c>
      <c r="M2734" t="s">
        <v>2075</v>
      </c>
    </row>
    <row r="2735" spans="12:13" x14ac:dyDescent="0.25">
      <c r="L2735" s="65">
        <v>511430</v>
      </c>
      <c r="M2735" t="s">
        <v>2076</v>
      </c>
    </row>
    <row r="2736" spans="12:13" x14ac:dyDescent="0.25">
      <c r="L2736" s="65">
        <v>511431</v>
      </c>
      <c r="M2736" t="s">
        <v>2076</v>
      </c>
    </row>
    <row r="2737" spans="12:13" x14ac:dyDescent="0.25">
      <c r="L2737" s="65">
        <v>511440</v>
      </c>
      <c r="M2737" t="s">
        <v>2077</v>
      </c>
    </row>
    <row r="2738" spans="12:13" x14ac:dyDescent="0.25">
      <c r="L2738" s="65">
        <v>511441</v>
      </c>
      <c r="M2738" t="s">
        <v>2077</v>
      </c>
    </row>
    <row r="2739" spans="12:13" x14ac:dyDescent="0.25">
      <c r="L2739" s="65">
        <v>511450</v>
      </c>
      <c r="M2739" t="s">
        <v>2078</v>
      </c>
    </row>
    <row r="2740" spans="12:13" x14ac:dyDescent="0.25">
      <c r="L2740" s="65">
        <v>511451</v>
      </c>
      <c r="M2740" t="s">
        <v>2078</v>
      </c>
    </row>
    <row r="2741" spans="12:13" x14ac:dyDescent="0.25">
      <c r="L2741" s="65">
        <v>512000</v>
      </c>
      <c r="M2741" t="s">
        <v>1972</v>
      </c>
    </row>
    <row r="2742" spans="12:13" x14ac:dyDescent="0.25">
      <c r="L2742" s="65">
        <v>512100</v>
      </c>
      <c r="M2742" t="s">
        <v>326</v>
      </c>
    </row>
    <row r="2743" spans="12:13" x14ac:dyDescent="0.25">
      <c r="L2743" s="65">
        <v>512110</v>
      </c>
      <c r="M2743" t="s">
        <v>327</v>
      </c>
    </row>
    <row r="2744" spans="12:13" x14ac:dyDescent="0.25">
      <c r="L2744" s="65">
        <v>512111</v>
      </c>
      <c r="M2744" t="s">
        <v>2079</v>
      </c>
    </row>
    <row r="2745" spans="12:13" x14ac:dyDescent="0.25">
      <c r="L2745" s="65">
        <v>512112</v>
      </c>
      <c r="M2745" t="s">
        <v>2080</v>
      </c>
    </row>
    <row r="2746" spans="12:13" x14ac:dyDescent="0.25">
      <c r="L2746" s="65">
        <v>512113</v>
      </c>
      <c r="M2746" t="s">
        <v>2081</v>
      </c>
    </row>
    <row r="2747" spans="12:13" x14ac:dyDescent="0.25">
      <c r="L2747" s="65">
        <v>512114</v>
      </c>
      <c r="M2747" t="s">
        <v>2082</v>
      </c>
    </row>
    <row r="2748" spans="12:13" x14ac:dyDescent="0.25">
      <c r="L2748" s="65">
        <v>512115</v>
      </c>
      <c r="M2748" t="s">
        <v>2083</v>
      </c>
    </row>
    <row r="2749" spans="12:13" x14ac:dyDescent="0.25">
      <c r="L2749" s="65">
        <v>512116</v>
      </c>
      <c r="M2749" t="s">
        <v>2084</v>
      </c>
    </row>
    <row r="2750" spans="12:13" x14ac:dyDescent="0.25">
      <c r="L2750" s="65">
        <v>512117</v>
      </c>
      <c r="M2750" t="s">
        <v>2085</v>
      </c>
    </row>
    <row r="2751" spans="12:13" x14ac:dyDescent="0.25">
      <c r="L2751" s="65">
        <v>512120</v>
      </c>
      <c r="M2751" t="s">
        <v>328</v>
      </c>
    </row>
    <row r="2752" spans="12:13" x14ac:dyDescent="0.25">
      <c r="L2752" s="65">
        <v>512121</v>
      </c>
      <c r="M2752" t="s">
        <v>2086</v>
      </c>
    </row>
    <row r="2753" spans="12:13" x14ac:dyDescent="0.25">
      <c r="L2753" s="65">
        <v>512122</v>
      </c>
      <c r="M2753" t="s">
        <v>2087</v>
      </c>
    </row>
    <row r="2754" spans="12:13" x14ac:dyDescent="0.25">
      <c r="L2754" s="65">
        <v>512130</v>
      </c>
      <c r="M2754" t="s">
        <v>329</v>
      </c>
    </row>
    <row r="2755" spans="12:13" x14ac:dyDescent="0.25">
      <c r="L2755" s="65">
        <v>512131</v>
      </c>
      <c r="M2755" t="s">
        <v>2088</v>
      </c>
    </row>
    <row r="2756" spans="12:13" x14ac:dyDescent="0.25">
      <c r="L2756" s="65">
        <v>512132</v>
      </c>
      <c r="M2756" t="s">
        <v>2089</v>
      </c>
    </row>
    <row r="2757" spans="12:13" x14ac:dyDescent="0.25">
      <c r="L2757" s="65">
        <v>512140</v>
      </c>
      <c r="M2757" t="s">
        <v>331</v>
      </c>
    </row>
    <row r="2758" spans="12:13" x14ac:dyDescent="0.25">
      <c r="L2758" s="65">
        <v>512141</v>
      </c>
      <c r="M2758" t="s">
        <v>331</v>
      </c>
    </row>
    <row r="2759" spans="12:13" x14ac:dyDescent="0.25">
      <c r="L2759" s="65">
        <v>512200</v>
      </c>
      <c r="M2759" t="s">
        <v>335</v>
      </c>
    </row>
    <row r="2760" spans="12:13" x14ac:dyDescent="0.25">
      <c r="L2760" s="65">
        <v>512210</v>
      </c>
      <c r="M2760" t="s">
        <v>336</v>
      </c>
    </row>
    <row r="2761" spans="12:13" x14ac:dyDescent="0.25">
      <c r="L2761" s="65">
        <v>512211</v>
      </c>
      <c r="M2761" t="s">
        <v>1537</v>
      </c>
    </row>
    <row r="2762" spans="12:13" x14ac:dyDescent="0.25">
      <c r="L2762" s="65">
        <v>512212</v>
      </c>
      <c r="M2762" t="s">
        <v>1540</v>
      </c>
    </row>
    <row r="2763" spans="12:13" x14ac:dyDescent="0.25">
      <c r="L2763" s="65">
        <v>512213</v>
      </c>
      <c r="M2763" t="s">
        <v>2090</v>
      </c>
    </row>
    <row r="2764" spans="12:13" x14ac:dyDescent="0.25">
      <c r="L2764" s="65">
        <v>512220</v>
      </c>
      <c r="M2764" t="s">
        <v>337</v>
      </c>
    </row>
    <row r="2765" spans="12:13" x14ac:dyDescent="0.25">
      <c r="L2765" s="65">
        <v>512221</v>
      </c>
      <c r="M2765" t="s">
        <v>337</v>
      </c>
    </row>
    <row r="2766" spans="12:13" x14ac:dyDescent="0.25">
      <c r="L2766" s="65">
        <v>512222</v>
      </c>
      <c r="M2766" t="s">
        <v>2091</v>
      </c>
    </row>
    <row r="2767" spans="12:13" x14ac:dyDescent="0.25">
      <c r="L2767" s="65">
        <v>512223</v>
      </c>
      <c r="M2767" t="s">
        <v>2092</v>
      </c>
    </row>
    <row r="2768" spans="12:13" x14ac:dyDescent="0.25">
      <c r="L2768" s="65">
        <v>512230</v>
      </c>
      <c r="M2768" t="s">
        <v>338</v>
      </c>
    </row>
    <row r="2769" spans="12:13" x14ac:dyDescent="0.25">
      <c r="L2769" s="65">
        <v>512231</v>
      </c>
      <c r="M2769" t="s">
        <v>2093</v>
      </c>
    </row>
    <row r="2770" spans="12:13" x14ac:dyDescent="0.25">
      <c r="L2770" s="65">
        <v>512232</v>
      </c>
      <c r="M2770" t="s">
        <v>1367</v>
      </c>
    </row>
    <row r="2771" spans="12:13" x14ac:dyDescent="0.25">
      <c r="L2771" s="65">
        <v>512233</v>
      </c>
      <c r="M2771" t="s">
        <v>2094</v>
      </c>
    </row>
    <row r="2772" spans="12:13" x14ac:dyDescent="0.25">
      <c r="L2772" s="65">
        <v>512240</v>
      </c>
      <c r="M2772" t="s">
        <v>339</v>
      </c>
    </row>
    <row r="2773" spans="12:13" x14ac:dyDescent="0.25">
      <c r="L2773" s="65">
        <v>512241</v>
      </c>
      <c r="M2773" t="s">
        <v>2095</v>
      </c>
    </row>
    <row r="2774" spans="12:13" x14ac:dyDescent="0.25">
      <c r="L2774" s="65">
        <v>512242</v>
      </c>
      <c r="M2774" t="s">
        <v>2096</v>
      </c>
    </row>
    <row r="2775" spans="12:13" x14ac:dyDescent="0.25">
      <c r="L2775" s="65">
        <v>512250</v>
      </c>
      <c r="M2775" t="s">
        <v>340</v>
      </c>
    </row>
    <row r="2776" spans="12:13" x14ac:dyDescent="0.25">
      <c r="L2776" s="65">
        <v>512251</v>
      </c>
      <c r="M2776" t="s">
        <v>2097</v>
      </c>
    </row>
    <row r="2777" spans="12:13" x14ac:dyDescent="0.25">
      <c r="L2777" s="65">
        <v>512252</v>
      </c>
      <c r="M2777" t="s">
        <v>2098</v>
      </c>
    </row>
    <row r="2778" spans="12:13" x14ac:dyDescent="0.25">
      <c r="L2778" s="65">
        <v>512260</v>
      </c>
      <c r="M2778" t="s">
        <v>341</v>
      </c>
    </row>
    <row r="2779" spans="12:13" x14ac:dyDescent="0.25">
      <c r="L2779" s="65">
        <v>512261</v>
      </c>
      <c r="M2779" t="s">
        <v>341</v>
      </c>
    </row>
    <row r="2780" spans="12:13" x14ac:dyDescent="0.25">
      <c r="L2780" s="65">
        <v>512300</v>
      </c>
      <c r="M2780" t="s">
        <v>345</v>
      </c>
    </row>
    <row r="2781" spans="12:13" x14ac:dyDescent="0.25">
      <c r="L2781" s="65">
        <v>512310</v>
      </c>
      <c r="M2781" t="s">
        <v>2099</v>
      </c>
    </row>
    <row r="2782" spans="12:13" x14ac:dyDescent="0.25">
      <c r="L2782" s="65">
        <v>512311</v>
      </c>
      <c r="M2782" t="s">
        <v>2099</v>
      </c>
    </row>
    <row r="2783" spans="12:13" x14ac:dyDescent="0.25">
      <c r="L2783" s="65">
        <v>512320</v>
      </c>
      <c r="M2783" t="s">
        <v>2100</v>
      </c>
    </row>
    <row r="2784" spans="12:13" x14ac:dyDescent="0.25">
      <c r="L2784" s="65">
        <v>512321</v>
      </c>
      <c r="M2784" t="s">
        <v>2100</v>
      </c>
    </row>
    <row r="2785" spans="12:13" x14ac:dyDescent="0.25">
      <c r="L2785" s="65">
        <v>512400</v>
      </c>
      <c r="M2785" t="s">
        <v>350</v>
      </c>
    </row>
    <row r="2786" spans="12:13" x14ac:dyDescent="0.25">
      <c r="L2786" s="65">
        <v>512410</v>
      </c>
      <c r="M2786" t="s">
        <v>350</v>
      </c>
    </row>
    <row r="2787" spans="12:13" x14ac:dyDescent="0.25">
      <c r="L2787" s="65">
        <v>512411</v>
      </c>
      <c r="M2787" t="s">
        <v>350</v>
      </c>
    </row>
    <row r="2788" spans="12:13" x14ac:dyDescent="0.25">
      <c r="L2788" s="65">
        <v>512420</v>
      </c>
      <c r="M2788" t="s">
        <v>351</v>
      </c>
    </row>
    <row r="2789" spans="12:13" x14ac:dyDescent="0.25">
      <c r="L2789" s="65">
        <v>512421</v>
      </c>
      <c r="M2789" t="s">
        <v>351</v>
      </c>
    </row>
    <row r="2790" spans="12:13" x14ac:dyDescent="0.25">
      <c r="L2790" s="65">
        <v>512500</v>
      </c>
      <c r="M2790" t="s">
        <v>355</v>
      </c>
    </row>
    <row r="2791" spans="12:13" x14ac:dyDescent="0.25">
      <c r="L2791" s="65">
        <v>512510</v>
      </c>
      <c r="M2791" t="s">
        <v>356</v>
      </c>
    </row>
    <row r="2792" spans="12:13" x14ac:dyDescent="0.25">
      <c r="L2792" s="65">
        <v>512511</v>
      </c>
      <c r="M2792" t="s">
        <v>356</v>
      </c>
    </row>
    <row r="2793" spans="12:13" x14ac:dyDescent="0.25">
      <c r="L2793" s="65">
        <v>512520</v>
      </c>
      <c r="M2793" t="s">
        <v>357</v>
      </c>
    </row>
    <row r="2794" spans="12:13" x14ac:dyDescent="0.25">
      <c r="L2794" s="65">
        <v>512521</v>
      </c>
      <c r="M2794" t="s">
        <v>357</v>
      </c>
    </row>
    <row r="2795" spans="12:13" x14ac:dyDescent="0.25">
      <c r="L2795" s="65">
        <v>512530</v>
      </c>
      <c r="M2795" t="s">
        <v>358</v>
      </c>
    </row>
    <row r="2796" spans="12:13" x14ac:dyDescent="0.25">
      <c r="L2796" s="65">
        <v>512531</v>
      </c>
      <c r="M2796" t="s">
        <v>358</v>
      </c>
    </row>
    <row r="2797" spans="12:13" x14ac:dyDescent="0.25">
      <c r="L2797" s="65">
        <v>512540</v>
      </c>
      <c r="M2797" t="s">
        <v>360</v>
      </c>
    </row>
    <row r="2798" spans="12:13" x14ac:dyDescent="0.25">
      <c r="L2798" s="65">
        <v>512541</v>
      </c>
      <c r="M2798" t="s">
        <v>360</v>
      </c>
    </row>
    <row r="2799" spans="12:13" x14ac:dyDescent="0.25">
      <c r="L2799" s="65">
        <v>512600</v>
      </c>
      <c r="M2799" t="s">
        <v>364</v>
      </c>
    </row>
    <row r="2800" spans="12:13" x14ac:dyDescent="0.25">
      <c r="L2800" s="65">
        <v>512610</v>
      </c>
      <c r="M2800" t="s">
        <v>365</v>
      </c>
    </row>
    <row r="2801" spans="12:13" x14ac:dyDescent="0.25">
      <c r="L2801" s="65">
        <v>512611</v>
      </c>
      <c r="M2801" t="s">
        <v>365</v>
      </c>
    </row>
    <row r="2802" spans="12:13" x14ac:dyDescent="0.25">
      <c r="L2802" s="65">
        <v>512620</v>
      </c>
      <c r="M2802" t="s">
        <v>366</v>
      </c>
    </row>
    <row r="2803" spans="12:13" x14ac:dyDescent="0.25">
      <c r="L2803" s="65">
        <v>512621</v>
      </c>
      <c r="M2803" t="s">
        <v>366</v>
      </c>
    </row>
    <row r="2804" spans="12:13" x14ac:dyDescent="0.25">
      <c r="L2804" s="65">
        <v>512630</v>
      </c>
      <c r="M2804" t="s">
        <v>367</v>
      </c>
    </row>
    <row r="2805" spans="12:13" x14ac:dyDescent="0.25">
      <c r="L2805" s="65">
        <v>512631</v>
      </c>
      <c r="M2805" t="s">
        <v>367</v>
      </c>
    </row>
    <row r="2806" spans="12:13" x14ac:dyDescent="0.25">
      <c r="L2806" s="65">
        <v>512640</v>
      </c>
      <c r="M2806" t="s">
        <v>368</v>
      </c>
    </row>
    <row r="2807" spans="12:13" x14ac:dyDescent="0.25">
      <c r="L2807" s="65">
        <v>512641</v>
      </c>
      <c r="M2807" t="s">
        <v>368</v>
      </c>
    </row>
    <row r="2808" spans="12:13" x14ac:dyDescent="0.25">
      <c r="L2808" s="65">
        <v>512650</v>
      </c>
      <c r="M2808" t="s">
        <v>369</v>
      </c>
    </row>
    <row r="2809" spans="12:13" x14ac:dyDescent="0.25">
      <c r="L2809" s="65">
        <v>512651</v>
      </c>
      <c r="M2809" t="s">
        <v>369</v>
      </c>
    </row>
    <row r="2810" spans="12:13" x14ac:dyDescent="0.25">
      <c r="L2810" s="65">
        <v>512700</v>
      </c>
      <c r="M2810" t="s">
        <v>373</v>
      </c>
    </row>
    <row r="2811" spans="12:13" x14ac:dyDescent="0.25">
      <c r="L2811" s="65">
        <v>512710</v>
      </c>
      <c r="M2811" t="s">
        <v>373</v>
      </c>
    </row>
    <row r="2812" spans="12:13" x14ac:dyDescent="0.25">
      <c r="L2812" s="65">
        <v>512711</v>
      </c>
      <c r="M2812" t="s">
        <v>373</v>
      </c>
    </row>
    <row r="2813" spans="12:13" x14ac:dyDescent="0.25">
      <c r="L2813" s="65">
        <v>512720</v>
      </c>
      <c r="M2813" t="s">
        <v>2101</v>
      </c>
    </row>
    <row r="2814" spans="12:13" x14ac:dyDescent="0.25">
      <c r="L2814" s="65">
        <v>512721</v>
      </c>
      <c r="M2814" t="s">
        <v>2101</v>
      </c>
    </row>
    <row r="2815" spans="12:13" x14ac:dyDescent="0.25">
      <c r="L2815" s="65">
        <v>512800</v>
      </c>
      <c r="M2815" t="s">
        <v>378</v>
      </c>
    </row>
    <row r="2816" spans="12:13" x14ac:dyDescent="0.25">
      <c r="L2816" s="65">
        <v>512810</v>
      </c>
      <c r="M2816" t="s">
        <v>378</v>
      </c>
    </row>
    <row r="2817" spans="12:13" x14ac:dyDescent="0.25">
      <c r="L2817" s="65">
        <v>512811</v>
      </c>
      <c r="M2817" t="s">
        <v>378</v>
      </c>
    </row>
    <row r="2818" spans="12:13" x14ac:dyDescent="0.25">
      <c r="L2818" s="65">
        <v>512820</v>
      </c>
      <c r="M2818" t="s">
        <v>2102</v>
      </c>
    </row>
    <row r="2819" spans="12:13" x14ac:dyDescent="0.25">
      <c r="L2819" s="65">
        <v>512821</v>
      </c>
      <c r="M2819" t="s">
        <v>2102</v>
      </c>
    </row>
    <row r="2820" spans="12:13" x14ac:dyDescent="0.25">
      <c r="L2820" s="65">
        <v>512900</v>
      </c>
      <c r="M2820" t="s">
        <v>383</v>
      </c>
    </row>
    <row r="2821" spans="12:13" x14ac:dyDescent="0.25">
      <c r="L2821" s="65">
        <v>512910</v>
      </c>
      <c r="M2821" t="s">
        <v>2103</v>
      </c>
    </row>
    <row r="2822" spans="12:13" x14ac:dyDescent="0.25">
      <c r="L2822" s="65">
        <v>512911</v>
      </c>
      <c r="M2822" t="s">
        <v>2103</v>
      </c>
    </row>
    <row r="2823" spans="12:13" x14ac:dyDescent="0.25">
      <c r="L2823" s="65">
        <v>512920</v>
      </c>
      <c r="M2823" t="s">
        <v>385</v>
      </c>
    </row>
    <row r="2824" spans="12:13" x14ac:dyDescent="0.25">
      <c r="L2824" s="65">
        <v>512921</v>
      </c>
      <c r="M2824" t="s">
        <v>385</v>
      </c>
    </row>
    <row r="2825" spans="12:13" x14ac:dyDescent="0.25">
      <c r="L2825" s="65">
        <v>512930</v>
      </c>
      <c r="M2825" t="s">
        <v>386</v>
      </c>
    </row>
    <row r="2826" spans="12:13" x14ac:dyDescent="0.25">
      <c r="L2826" s="65">
        <v>512931</v>
      </c>
      <c r="M2826" t="s">
        <v>2104</v>
      </c>
    </row>
    <row r="2827" spans="12:13" x14ac:dyDescent="0.25">
      <c r="L2827" s="65">
        <v>512932</v>
      </c>
      <c r="M2827" t="s">
        <v>2105</v>
      </c>
    </row>
    <row r="2828" spans="12:13" x14ac:dyDescent="0.25">
      <c r="L2828" s="65">
        <v>512933</v>
      </c>
      <c r="M2828" t="s">
        <v>2106</v>
      </c>
    </row>
    <row r="2829" spans="12:13" x14ac:dyDescent="0.25">
      <c r="L2829" s="65">
        <v>512940</v>
      </c>
      <c r="M2829" t="s">
        <v>2107</v>
      </c>
    </row>
    <row r="2830" spans="12:13" x14ac:dyDescent="0.25">
      <c r="L2830" s="65">
        <v>512941</v>
      </c>
      <c r="M2830" t="s">
        <v>2107</v>
      </c>
    </row>
    <row r="2831" spans="12:13" x14ac:dyDescent="0.25">
      <c r="L2831" s="65">
        <v>512950</v>
      </c>
      <c r="M2831" t="s">
        <v>2108</v>
      </c>
    </row>
    <row r="2832" spans="12:13" x14ac:dyDescent="0.25">
      <c r="L2832" s="65">
        <v>512951</v>
      </c>
      <c r="M2832" t="s">
        <v>2108</v>
      </c>
    </row>
    <row r="2833" spans="12:13" x14ac:dyDescent="0.25">
      <c r="L2833" s="65">
        <v>513000</v>
      </c>
      <c r="M2833" t="s">
        <v>392</v>
      </c>
    </row>
    <row r="2834" spans="12:13" x14ac:dyDescent="0.25">
      <c r="L2834" s="65">
        <v>513100</v>
      </c>
      <c r="M2834" t="s">
        <v>392</v>
      </c>
    </row>
    <row r="2835" spans="12:13" x14ac:dyDescent="0.25">
      <c r="L2835" s="65">
        <v>513110</v>
      </c>
      <c r="M2835" t="s">
        <v>392</v>
      </c>
    </row>
    <row r="2836" spans="12:13" x14ac:dyDescent="0.25">
      <c r="L2836" s="65">
        <v>513111</v>
      </c>
      <c r="M2836" t="s">
        <v>392</v>
      </c>
    </row>
    <row r="2837" spans="12:13" x14ac:dyDescent="0.25">
      <c r="L2837" s="65">
        <v>513119</v>
      </c>
      <c r="M2837" t="s">
        <v>2109</v>
      </c>
    </row>
    <row r="2838" spans="12:13" x14ac:dyDescent="0.25">
      <c r="L2838" s="65">
        <v>514000</v>
      </c>
      <c r="M2838" t="s">
        <v>397</v>
      </c>
    </row>
    <row r="2839" spans="12:13" x14ac:dyDescent="0.25">
      <c r="L2839" s="65">
        <v>514100</v>
      </c>
      <c r="M2839" t="s">
        <v>397</v>
      </c>
    </row>
    <row r="2840" spans="12:13" x14ac:dyDescent="0.25">
      <c r="L2840" s="65">
        <v>514110</v>
      </c>
      <c r="M2840" t="s">
        <v>2110</v>
      </c>
    </row>
    <row r="2841" spans="12:13" x14ac:dyDescent="0.25">
      <c r="L2841" s="65">
        <v>514111</v>
      </c>
      <c r="M2841" t="s">
        <v>2111</v>
      </c>
    </row>
    <row r="2842" spans="12:13" x14ac:dyDescent="0.25">
      <c r="L2842" s="65">
        <v>514112</v>
      </c>
      <c r="M2842" t="s">
        <v>2112</v>
      </c>
    </row>
    <row r="2843" spans="12:13" x14ac:dyDescent="0.25">
      <c r="L2843" s="65">
        <v>514113</v>
      </c>
      <c r="M2843" t="s">
        <v>2113</v>
      </c>
    </row>
    <row r="2844" spans="12:13" x14ac:dyDescent="0.25">
      <c r="L2844" s="65">
        <v>514114</v>
      </c>
      <c r="M2844" t="s">
        <v>2114</v>
      </c>
    </row>
    <row r="2845" spans="12:13" x14ac:dyDescent="0.25">
      <c r="L2845" s="65">
        <v>514115</v>
      </c>
      <c r="M2845" t="s">
        <v>2115</v>
      </c>
    </row>
    <row r="2846" spans="12:13" x14ac:dyDescent="0.25">
      <c r="L2846" s="65">
        <v>514116</v>
      </c>
      <c r="M2846" t="s">
        <v>2116</v>
      </c>
    </row>
    <row r="2847" spans="12:13" x14ac:dyDescent="0.25">
      <c r="L2847" s="65">
        <v>514117</v>
      </c>
      <c r="M2847" t="s">
        <v>2117</v>
      </c>
    </row>
    <row r="2848" spans="12:13" x14ac:dyDescent="0.25">
      <c r="L2848" s="65">
        <v>514118</v>
      </c>
      <c r="M2848" t="s">
        <v>2118</v>
      </c>
    </row>
    <row r="2849" spans="12:13" x14ac:dyDescent="0.25">
      <c r="L2849" s="65">
        <v>514119</v>
      </c>
      <c r="M2849" t="s">
        <v>2119</v>
      </c>
    </row>
    <row r="2850" spans="12:13" x14ac:dyDescent="0.25">
      <c r="L2850" s="65">
        <v>514120</v>
      </c>
      <c r="M2850" t="s">
        <v>399</v>
      </c>
    </row>
    <row r="2851" spans="12:13" x14ac:dyDescent="0.25">
      <c r="L2851" s="65">
        <v>514121</v>
      </c>
      <c r="M2851" t="s">
        <v>399</v>
      </c>
    </row>
    <row r="2852" spans="12:13" x14ac:dyDescent="0.25">
      <c r="L2852" s="65">
        <v>515000</v>
      </c>
      <c r="M2852" t="s">
        <v>489</v>
      </c>
    </row>
    <row r="2853" spans="12:13" x14ac:dyDescent="0.25">
      <c r="L2853" s="65">
        <v>515100</v>
      </c>
      <c r="M2853" t="s">
        <v>489</v>
      </c>
    </row>
    <row r="2854" spans="12:13" x14ac:dyDescent="0.25">
      <c r="L2854" s="65">
        <v>515110</v>
      </c>
      <c r="M2854" t="s">
        <v>490</v>
      </c>
    </row>
    <row r="2855" spans="12:13" x14ac:dyDescent="0.25">
      <c r="L2855" s="65">
        <v>515111</v>
      </c>
      <c r="M2855" t="s">
        <v>490</v>
      </c>
    </row>
    <row r="2856" spans="12:13" x14ac:dyDescent="0.25">
      <c r="L2856" s="65">
        <v>515120</v>
      </c>
      <c r="M2856" t="s">
        <v>494</v>
      </c>
    </row>
    <row r="2857" spans="12:13" x14ac:dyDescent="0.25">
      <c r="L2857" s="65">
        <v>515121</v>
      </c>
      <c r="M2857" t="s">
        <v>2120</v>
      </c>
    </row>
    <row r="2858" spans="12:13" x14ac:dyDescent="0.25">
      <c r="L2858" s="65">
        <v>515122</v>
      </c>
      <c r="M2858" t="s">
        <v>2121</v>
      </c>
    </row>
    <row r="2859" spans="12:13" x14ac:dyDescent="0.25">
      <c r="L2859" s="65">
        <v>515123</v>
      </c>
      <c r="M2859" t="s">
        <v>2122</v>
      </c>
    </row>
    <row r="2860" spans="12:13" x14ac:dyDescent="0.25">
      <c r="L2860" s="65">
        <v>515124</v>
      </c>
      <c r="M2860" t="s">
        <v>2123</v>
      </c>
    </row>
    <row r="2861" spans="12:13" x14ac:dyDescent="0.25">
      <c r="L2861" s="65">
        <v>515125</v>
      </c>
      <c r="M2861" t="s">
        <v>2124</v>
      </c>
    </row>
    <row r="2862" spans="12:13" x14ac:dyDescent="0.25">
      <c r="L2862" s="65">
        <v>515126</v>
      </c>
      <c r="M2862" t="s">
        <v>2125</v>
      </c>
    </row>
    <row r="2863" spans="12:13" x14ac:dyDescent="0.25">
      <c r="L2863" s="65">
        <v>515129</v>
      </c>
      <c r="M2863" t="s">
        <v>2126</v>
      </c>
    </row>
    <row r="2864" spans="12:13" x14ac:dyDescent="0.25">
      <c r="L2864" s="65">
        <v>515190</v>
      </c>
      <c r="M2864" t="s">
        <v>510</v>
      </c>
    </row>
    <row r="2865" spans="12:13" x14ac:dyDescent="0.25">
      <c r="L2865" s="65">
        <v>515191</v>
      </c>
      <c r="M2865" t="s">
        <v>2127</v>
      </c>
    </row>
    <row r="2866" spans="12:13" x14ac:dyDescent="0.25">
      <c r="L2866" s="65">
        <v>515192</v>
      </c>
      <c r="M2866" t="s">
        <v>2128</v>
      </c>
    </row>
    <row r="2867" spans="12:13" x14ac:dyDescent="0.25">
      <c r="L2867" s="65">
        <v>515193</v>
      </c>
      <c r="M2867" t="s">
        <v>2129</v>
      </c>
    </row>
    <row r="2868" spans="12:13" x14ac:dyDescent="0.25">
      <c r="L2868" s="65">
        <v>515194</v>
      </c>
      <c r="M2868" t="s">
        <v>2130</v>
      </c>
    </row>
    <row r="2869" spans="12:13" x14ac:dyDescent="0.25">
      <c r="L2869" s="65">
        <v>515195</v>
      </c>
      <c r="M2869" t="s">
        <v>2131</v>
      </c>
    </row>
    <row r="2870" spans="12:13" x14ac:dyDescent="0.25">
      <c r="L2870" s="65">
        <v>515196</v>
      </c>
      <c r="M2870" t="s">
        <v>2132</v>
      </c>
    </row>
    <row r="2871" spans="12:13" x14ac:dyDescent="0.25">
      <c r="L2871" s="65">
        <v>515197</v>
      </c>
      <c r="M2871" t="s">
        <v>2133</v>
      </c>
    </row>
    <row r="2872" spans="12:13" x14ac:dyDescent="0.25">
      <c r="L2872" s="65">
        <v>515199</v>
      </c>
      <c r="M2872" t="s">
        <v>510</v>
      </c>
    </row>
    <row r="2873" spans="12:13" x14ac:dyDescent="0.25">
      <c r="L2873" s="65">
        <v>520000</v>
      </c>
      <c r="M2873" t="s">
        <v>521</v>
      </c>
    </row>
    <row r="2874" spans="12:13" x14ac:dyDescent="0.25">
      <c r="L2874" s="65">
        <v>521000</v>
      </c>
      <c r="M2874" t="s">
        <v>522</v>
      </c>
    </row>
    <row r="2875" spans="12:13" x14ac:dyDescent="0.25">
      <c r="L2875" s="65">
        <v>521100</v>
      </c>
      <c r="M2875" t="s">
        <v>522</v>
      </c>
    </row>
    <row r="2876" spans="12:13" x14ac:dyDescent="0.25">
      <c r="L2876" s="65">
        <v>521110</v>
      </c>
      <c r="M2876" t="s">
        <v>522</v>
      </c>
    </row>
    <row r="2877" spans="12:13" x14ac:dyDescent="0.25">
      <c r="L2877" s="65">
        <v>521111</v>
      </c>
      <c r="M2877" t="s">
        <v>522</v>
      </c>
    </row>
    <row r="2878" spans="12:13" x14ac:dyDescent="0.25">
      <c r="L2878" s="65">
        <v>522000</v>
      </c>
      <c r="M2878" t="s">
        <v>526</v>
      </c>
    </row>
    <row r="2879" spans="12:13" x14ac:dyDescent="0.25">
      <c r="L2879" s="65">
        <v>522100</v>
      </c>
      <c r="M2879" t="s">
        <v>1973</v>
      </c>
    </row>
    <row r="2880" spans="12:13" x14ac:dyDescent="0.25">
      <c r="L2880" s="65">
        <v>522110</v>
      </c>
      <c r="M2880" t="s">
        <v>1973</v>
      </c>
    </row>
    <row r="2881" spans="12:13" x14ac:dyDescent="0.25">
      <c r="L2881" s="65">
        <v>522111</v>
      </c>
      <c r="M2881" t="s">
        <v>1973</v>
      </c>
    </row>
    <row r="2882" spans="12:13" x14ac:dyDescent="0.25">
      <c r="L2882" s="65">
        <v>522200</v>
      </c>
      <c r="M2882" t="s">
        <v>1205</v>
      </c>
    </row>
    <row r="2883" spans="12:13" x14ac:dyDescent="0.25">
      <c r="L2883" s="65">
        <v>522210</v>
      </c>
      <c r="M2883" t="s">
        <v>1205</v>
      </c>
    </row>
    <row r="2884" spans="12:13" x14ac:dyDescent="0.25">
      <c r="L2884" s="65">
        <v>522211</v>
      </c>
      <c r="M2884" t="s">
        <v>1205</v>
      </c>
    </row>
    <row r="2885" spans="12:13" x14ac:dyDescent="0.25">
      <c r="L2885" s="65">
        <v>522300</v>
      </c>
      <c r="M2885" t="s">
        <v>1206</v>
      </c>
    </row>
    <row r="2886" spans="12:13" x14ac:dyDescent="0.25">
      <c r="L2886" s="65">
        <v>522310</v>
      </c>
      <c r="M2886" t="s">
        <v>1206</v>
      </c>
    </row>
    <row r="2887" spans="12:13" x14ac:dyDescent="0.25">
      <c r="L2887" s="65">
        <v>522311</v>
      </c>
      <c r="M2887" t="s">
        <v>1206</v>
      </c>
    </row>
    <row r="2888" spans="12:13" x14ac:dyDescent="0.25">
      <c r="L2888" s="65">
        <v>523000</v>
      </c>
      <c r="M2888" t="s">
        <v>1207</v>
      </c>
    </row>
    <row r="2889" spans="12:13" x14ac:dyDescent="0.25">
      <c r="L2889" s="65">
        <v>523100</v>
      </c>
      <c r="M2889" t="s">
        <v>1207</v>
      </c>
    </row>
    <row r="2890" spans="12:13" x14ac:dyDescent="0.25">
      <c r="L2890" s="65">
        <v>523110</v>
      </c>
      <c r="M2890" t="s">
        <v>1207</v>
      </c>
    </row>
    <row r="2891" spans="12:13" x14ac:dyDescent="0.25">
      <c r="L2891" s="65">
        <v>523111</v>
      </c>
      <c r="M2891" t="s">
        <v>1207</v>
      </c>
    </row>
    <row r="2892" spans="12:13" x14ac:dyDescent="0.25">
      <c r="L2892" s="65">
        <v>530000</v>
      </c>
      <c r="M2892" t="s">
        <v>403</v>
      </c>
    </row>
    <row r="2893" spans="12:13" x14ac:dyDescent="0.25">
      <c r="L2893" s="65">
        <v>531000</v>
      </c>
      <c r="M2893" t="s">
        <v>403</v>
      </c>
    </row>
    <row r="2894" spans="12:13" x14ac:dyDescent="0.25">
      <c r="L2894" s="65">
        <v>531100</v>
      </c>
      <c r="M2894" t="s">
        <v>403</v>
      </c>
    </row>
    <row r="2895" spans="12:13" x14ac:dyDescent="0.25">
      <c r="L2895" s="65">
        <v>531110</v>
      </c>
      <c r="M2895" t="s">
        <v>403</v>
      </c>
    </row>
    <row r="2896" spans="12:13" x14ac:dyDescent="0.25">
      <c r="L2896" s="65">
        <v>531111</v>
      </c>
      <c r="M2896" t="s">
        <v>403</v>
      </c>
    </row>
    <row r="2897" spans="12:13" x14ac:dyDescent="0.25">
      <c r="L2897" s="65">
        <v>540000</v>
      </c>
      <c r="M2897" t="s">
        <v>412</v>
      </c>
    </row>
    <row r="2898" spans="12:13" x14ac:dyDescent="0.25">
      <c r="L2898" s="65">
        <v>541000</v>
      </c>
      <c r="M2898" t="s">
        <v>413</v>
      </c>
    </row>
    <row r="2899" spans="12:13" x14ac:dyDescent="0.25">
      <c r="L2899" s="65">
        <v>541100</v>
      </c>
      <c r="M2899" t="s">
        <v>413</v>
      </c>
    </row>
    <row r="2900" spans="12:13" x14ac:dyDescent="0.25">
      <c r="L2900" s="65">
        <v>541110</v>
      </c>
      <c r="M2900" t="s">
        <v>2134</v>
      </c>
    </row>
    <row r="2901" spans="12:13" x14ac:dyDescent="0.25">
      <c r="L2901" s="65">
        <v>541111</v>
      </c>
      <c r="M2901" t="s">
        <v>2135</v>
      </c>
    </row>
    <row r="2902" spans="12:13" x14ac:dyDescent="0.25">
      <c r="L2902" s="65">
        <v>541112</v>
      </c>
      <c r="M2902" t="s">
        <v>2136</v>
      </c>
    </row>
    <row r="2903" spans="12:13" x14ac:dyDescent="0.25">
      <c r="L2903" s="65">
        <v>541113</v>
      </c>
      <c r="M2903" t="s">
        <v>2137</v>
      </c>
    </row>
    <row r="2904" spans="12:13" x14ac:dyDescent="0.25">
      <c r="L2904" s="65">
        <v>541114</v>
      </c>
      <c r="M2904" t="s">
        <v>2138</v>
      </c>
    </row>
    <row r="2905" spans="12:13" x14ac:dyDescent="0.25">
      <c r="L2905" s="65">
        <v>541115</v>
      </c>
      <c r="M2905" t="s">
        <v>2139</v>
      </c>
    </row>
    <row r="2906" spans="12:13" x14ac:dyDescent="0.25">
      <c r="L2906" s="65">
        <v>541120</v>
      </c>
      <c r="M2906" t="s">
        <v>2140</v>
      </c>
    </row>
    <row r="2907" spans="12:13" x14ac:dyDescent="0.25">
      <c r="L2907" s="65">
        <v>541121</v>
      </c>
      <c r="M2907" t="s">
        <v>2141</v>
      </c>
    </row>
    <row r="2908" spans="12:13" x14ac:dyDescent="0.25">
      <c r="L2908" s="65">
        <v>541122</v>
      </c>
      <c r="M2908" t="s">
        <v>2142</v>
      </c>
    </row>
    <row r="2909" spans="12:13" x14ac:dyDescent="0.25">
      <c r="L2909" s="65">
        <v>541123</v>
      </c>
      <c r="M2909" t="s">
        <v>2143</v>
      </c>
    </row>
    <row r="2910" spans="12:13" x14ac:dyDescent="0.25">
      <c r="L2910" s="65">
        <v>541124</v>
      </c>
      <c r="M2910" t="s">
        <v>2144</v>
      </c>
    </row>
    <row r="2911" spans="12:13" x14ac:dyDescent="0.25">
      <c r="L2911" s="65">
        <v>541125</v>
      </c>
      <c r="M2911" t="s">
        <v>2145</v>
      </c>
    </row>
    <row r="2912" spans="12:13" x14ac:dyDescent="0.25">
      <c r="L2912" s="65">
        <v>542000</v>
      </c>
      <c r="M2912" t="s">
        <v>1974</v>
      </c>
    </row>
    <row r="2913" spans="12:13" x14ac:dyDescent="0.25">
      <c r="L2913" s="65">
        <v>542100</v>
      </c>
      <c r="M2913" t="s">
        <v>423</v>
      </c>
    </row>
    <row r="2914" spans="12:13" x14ac:dyDescent="0.25">
      <c r="L2914" s="65">
        <v>542110</v>
      </c>
      <c r="M2914" t="s">
        <v>423</v>
      </c>
    </row>
    <row r="2915" spans="12:13" x14ac:dyDescent="0.25">
      <c r="L2915" s="65">
        <v>542111</v>
      </c>
      <c r="M2915" t="s">
        <v>423</v>
      </c>
    </row>
    <row r="2916" spans="12:13" x14ac:dyDescent="0.25">
      <c r="L2916" s="65">
        <v>542112</v>
      </c>
      <c r="M2916" t="s">
        <v>2146</v>
      </c>
    </row>
    <row r="2917" spans="12:13" x14ac:dyDescent="0.25">
      <c r="L2917" s="65">
        <v>542113</v>
      </c>
      <c r="M2917" t="s">
        <v>2147</v>
      </c>
    </row>
    <row r="2918" spans="12:13" x14ac:dyDescent="0.25">
      <c r="L2918" s="65">
        <v>542120</v>
      </c>
      <c r="M2918" t="s">
        <v>2148</v>
      </c>
    </row>
    <row r="2919" spans="12:13" x14ac:dyDescent="0.25">
      <c r="L2919" s="65">
        <v>542121</v>
      </c>
      <c r="M2919" t="s">
        <v>2149</v>
      </c>
    </row>
    <row r="2920" spans="12:13" x14ac:dyDescent="0.25">
      <c r="L2920" s="65">
        <v>542122</v>
      </c>
      <c r="M2920" t="s">
        <v>2150</v>
      </c>
    </row>
    <row r="2921" spans="12:13" x14ac:dyDescent="0.25">
      <c r="L2921" s="65">
        <v>542123</v>
      </c>
      <c r="M2921" t="s">
        <v>2151</v>
      </c>
    </row>
    <row r="2922" spans="12:13" x14ac:dyDescent="0.25">
      <c r="L2922" s="65">
        <v>543000</v>
      </c>
      <c r="M2922" t="s">
        <v>429</v>
      </c>
    </row>
    <row r="2923" spans="12:13" x14ac:dyDescent="0.25">
      <c r="L2923" s="65">
        <v>543100</v>
      </c>
      <c r="M2923" t="s">
        <v>430</v>
      </c>
    </row>
    <row r="2924" spans="12:13" x14ac:dyDescent="0.25">
      <c r="L2924" s="65">
        <v>543110</v>
      </c>
      <c r="M2924" t="s">
        <v>430</v>
      </c>
    </row>
    <row r="2925" spans="12:13" x14ac:dyDescent="0.25">
      <c r="L2925" s="65">
        <v>543111</v>
      </c>
      <c r="M2925" t="s">
        <v>2152</v>
      </c>
    </row>
    <row r="2926" spans="12:13" x14ac:dyDescent="0.25">
      <c r="L2926" s="65">
        <v>543120</v>
      </c>
      <c r="M2926" t="s">
        <v>2153</v>
      </c>
    </row>
    <row r="2927" spans="12:13" x14ac:dyDescent="0.25">
      <c r="L2927" s="65">
        <v>543121</v>
      </c>
      <c r="M2927" t="s">
        <v>2154</v>
      </c>
    </row>
    <row r="2928" spans="12:13" x14ac:dyDescent="0.25">
      <c r="L2928" s="65">
        <v>543200</v>
      </c>
      <c r="M2928" t="s">
        <v>434</v>
      </c>
    </row>
    <row r="2929" spans="12:13" x14ac:dyDescent="0.25">
      <c r="L2929" s="65">
        <v>543210</v>
      </c>
      <c r="M2929" t="s">
        <v>434</v>
      </c>
    </row>
    <row r="2930" spans="12:13" x14ac:dyDescent="0.25">
      <c r="L2930" s="65">
        <v>543211</v>
      </c>
      <c r="M2930" t="s">
        <v>2155</v>
      </c>
    </row>
    <row r="2931" spans="12:13" x14ac:dyDescent="0.25">
      <c r="L2931" s="65">
        <v>543220</v>
      </c>
      <c r="M2931" t="s">
        <v>2156</v>
      </c>
    </row>
    <row r="2932" spans="12:13" x14ac:dyDescent="0.25">
      <c r="L2932" s="65">
        <v>543221</v>
      </c>
      <c r="M2932" t="s">
        <v>2156</v>
      </c>
    </row>
    <row r="2933" spans="12:13" x14ac:dyDescent="0.25">
      <c r="L2933" s="65">
        <v>550000</v>
      </c>
      <c r="M2933" t="s">
        <v>2157</v>
      </c>
    </row>
    <row r="2934" spans="12:13" x14ac:dyDescent="0.25">
      <c r="L2934" s="65">
        <v>551000</v>
      </c>
      <c r="M2934" t="s">
        <v>2157</v>
      </c>
    </row>
    <row r="2935" spans="12:13" x14ac:dyDescent="0.25">
      <c r="L2935" s="65">
        <v>551100</v>
      </c>
      <c r="M2935" t="s">
        <v>2157</v>
      </c>
    </row>
    <row r="2936" spans="12:13" x14ac:dyDescent="0.25">
      <c r="L2936" s="65">
        <v>551110</v>
      </c>
      <c r="M2936" t="s">
        <v>2157</v>
      </c>
    </row>
    <row r="2937" spans="12:13" x14ac:dyDescent="0.25">
      <c r="L2937" s="65">
        <v>551111</v>
      </c>
      <c r="M2937" t="s">
        <v>2157</v>
      </c>
    </row>
    <row r="2938" spans="12:13" x14ac:dyDescent="0.25">
      <c r="L2938" s="65">
        <v>551120</v>
      </c>
      <c r="M2938" t="s">
        <v>2158</v>
      </c>
    </row>
    <row r="2939" spans="12:13" x14ac:dyDescent="0.25">
      <c r="L2939" s="65">
        <v>551121</v>
      </c>
      <c r="M2939" t="s">
        <v>2158</v>
      </c>
    </row>
    <row r="2940" spans="12:13" x14ac:dyDescent="0.25">
      <c r="L2940" s="65">
        <v>600000</v>
      </c>
      <c r="M2940" t="s">
        <v>1975</v>
      </c>
    </row>
    <row r="2941" spans="12:13" x14ac:dyDescent="0.25">
      <c r="L2941" s="65">
        <v>610000</v>
      </c>
      <c r="M2941" t="s">
        <v>1976</v>
      </c>
    </row>
    <row r="2942" spans="12:13" x14ac:dyDescent="0.25">
      <c r="L2942" s="65">
        <v>611000</v>
      </c>
      <c r="M2942" t="s">
        <v>2159</v>
      </c>
    </row>
    <row r="2943" spans="12:13" x14ac:dyDescent="0.25">
      <c r="L2943" s="65">
        <v>611100</v>
      </c>
      <c r="M2943" t="s">
        <v>1978</v>
      </c>
    </row>
    <row r="2944" spans="12:13" x14ac:dyDescent="0.25">
      <c r="L2944" s="65">
        <v>611110</v>
      </c>
      <c r="M2944" t="s">
        <v>2160</v>
      </c>
    </row>
    <row r="2945" spans="12:13" x14ac:dyDescent="0.25">
      <c r="L2945" s="65">
        <v>611111</v>
      </c>
      <c r="M2945" t="s">
        <v>2160</v>
      </c>
    </row>
    <row r="2946" spans="12:13" x14ac:dyDescent="0.25">
      <c r="L2946" s="65">
        <v>611120</v>
      </c>
      <c r="M2946" t="s">
        <v>2161</v>
      </c>
    </row>
    <row r="2947" spans="12:13" x14ac:dyDescent="0.25">
      <c r="L2947" s="65">
        <v>611121</v>
      </c>
      <c r="M2947" t="s">
        <v>2161</v>
      </c>
    </row>
    <row r="2948" spans="12:13" x14ac:dyDescent="0.25">
      <c r="L2948" s="65">
        <v>611122</v>
      </c>
      <c r="M2948" t="s">
        <v>2162</v>
      </c>
    </row>
    <row r="2949" spans="12:13" x14ac:dyDescent="0.25">
      <c r="L2949" s="65">
        <v>611200</v>
      </c>
      <c r="M2949" t="s">
        <v>1979</v>
      </c>
    </row>
    <row r="2950" spans="12:13" x14ac:dyDescent="0.25">
      <c r="L2950" s="65">
        <v>611210</v>
      </c>
      <c r="M2950" t="s">
        <v>2163</v>
      </c>
    </row>
    <row r="2951" spans="12:13" x14ac:dyDescent="0.25">
      <c r="L2951" s="65">
        <v>611211</v>
      </c>
      <c r="M2951" t="s">
        <v>2163</v>
      </c>
    </row>
    <row r="2952" spans="12:13" x14ac:dyDescent="0.25">
      <c r="L2952" s="65">
        <v>611220</v>
      </c>
      <c r="M2952" t="s">
        <v>2164</v>
      </c>
    </row>
    <row r="2953" spans="12:13" x14ac:dyDescent="0.25">
      <c r="L2953" s="65">
        <v>611221</v>
      </c>
      <c r="M2953" t="s">
        <v>2164</v>
      </c>
    </row>
    <row r="2954" spans="12:13" x14ac:dyDescent="0.25">
      <c r="L2954" s="65">
        <v>611230</v>
      </c>
      <c r="M2954" t="s">
        <v>2165</v>
      </c>
    </row>
    <row r="2955" spans="12:13" x14ac:dyDescent="0.25">
      <c r="L2955" s="65">
        <v>611231</v>
      </c>
      <c r="M2955" t="s">
        <v>2165</v>
      </c>
    </row>
    <row r="2956" spans="12:13" x14ac:dyDescent="0.25">
      <c r="L2956" s="65">
        <v>611240</v>
      </c>
      <c r="M2956" t="s">
        <v>2166</v>
      </c>
    </row>
    <row r="2957" spans="12:13" x14ac:dyDescent="0.25">
      <c r="L2957" s="65">
        <v>611241</v>
      </c>
      <c r="M2957" t="s">
        <v>2166</v>
      </c>
    </row>
    <row r="2958" spans="12:13" x14ac:dyDescent="0.25">
      <c r="L2958" s="65">
        <v>611250</v>
      </c>
      <c r="M2958" t="s">
        <v>2167</v>
      </c>
    </row>
    <row r="2959" spans="12:13" x14ac:dyDescent="0.25">
      <c r="L2959" s="65">
        <v>611251</v>
      </c>
      <c r="M2959" t="s">
        <v>2168</v>
      </c>
    </row>
    <row r="2960" spans="12:13" x14ac:dyDescent="0.25">
      <c r="L2960" s="65">
        <v>611252</v>
      </c>
      <c r="M2960" t="s">
        <v>2169</v>
      </c>
    </row>
    <row r="2961" spans="12:13" x14ac:dyDescent="0.25">
      <c r="L2961" s="65">
        <v>611255</v>
      </c>
      <c r="M2961" t="s">
        <v>2170</v>
      </c>
    </row>
    <row r="2962" spans="12:13" x14ac:dyDescent="0.25">
      <c r="L2962" s="65">
        <v>611300</v>
      </c>
      <c r="M2962" t="s">
        <v>1980</v>
      </c>
    </row>
    <row r="2963" spans="12:13" x14ac:dyDescent="0.25">
      <c r="L2963" s="65">
        <v>611310</v>
      </c>
      <c r="M2963" t="s">
        <v>2171</v>
      </c>
    </row>
    <row r="2964" spans="12:13" x14ac:dyDescent="0.25">
      <c r="L2964" s="65">
        <v>611311</v>
      </c>
      <c r="M2964" t="s">
        <v>2171</v>
      </c>
    </row>
    <row r="2965" spans="12:13" x14ac:dyDescent="0.25">
      <c r="L2965" s="65">
        <v>611390</v>
      </c>
      <c r="M2965" t="s">
        <v>2172</v>
      </c>
    </row>
    <row r="2966" spans="12:13" x14ac:dyDescent="0.25">
      <c r="L2966" s="65">
        <v>611391</v>
      </c>
      <c r="M2966" t="s">
        <v>2172</v>
      </c>
    </row>
    <row r="2967" spans="12:13" x14ac:dyDescent="0.25">
      <c r="L2967" s="65">
        <v>611400</v>
      </c>
      <c r="M2967" t="s">
        <v>1981</v>
      </c>
    </row>
    <row r="2968" spans="12:13" x14ac:dyDescent="0.25">
      <c r="L2968" s="65">
        <v>611410</v>
      </c>
      <c r="M2968" t="s">
        <v>1981</v>
      </c>
    </row>
    <row r="2969" spans="12:13" x14ac:dyDescent="0.25">
      <c r="L2969" s="65">
        <v>611411</v>
      </c>
      <c r="M2969" t="s">
        <v>1981</v>
      </c>
    </row>
    <row r="2970" spans="12:13" x14ac:dyDescent="0.25">
      <c r="L2970" s="65">
        <v>611500</v>
      </c>
      <c r="M2970" t="s">
        <v>1982</v>
      </c>
    </row>
    <row r="2971" spans="12:13" x14ac:dyDescent="0.25">
      <c r="L2971" s="65">
        <v>611510</v>
      </c>
      <c r="M2971" t="s">
        <v>1982</v>
      </c>
    </row>
    <row r="2972" spans="12:13" x14ac:dyDescent="0.25">
      <c r="L2972" s="65">
        <v>611511</v>
      </c>
      <c r="M2972" t="s">
        <v>1982</v>
      </c>
    </row>
    <row r="2973" spans="12:13" x14ac:dyDescent="0.25">
      <c r="L2973" s="65">
        <v>611600</v>
      </c>
      <c r="M2973" t="s">
        <v>1983</v>
      </c>
    </row>
    <row r="2974" spans="12:13" x14ac:dyDescent="0.25">
      <c r="L2974" s="65">
        <v>611610</v>
      </c>
      <c r="M2974" t="s">
        <v>1983</v>
      </c>
    </row>
    <row r="2975" spans="12:13" x14ac:dyDescent="0.25">
      <c r="L2975" s="65">
        <v>611611</v>
      </c>
      <c r="M2975" t="s">
        <v>1983</v>
      </c>
    </row>
    <row r="2976" spans="12:13" x14ac:dyDescent="0.25">
      <c r="L2976" s="65">
        <v>611700</v>
      </c>
      <c r="M2976" t="s">
        <v>1984</v>
      </c>
    </row>
    <row r="2977" spans="12:13" x14ac:dyDescent="0.25">
      <c r="L2977" s="65">
        <v>611710</v>
      </c>
      <c r="M2977" t="s">
        <v>1984</v>
      </c>
    </row>
    <row r="2978" spans="12:13" x14ac:dyDescent="0.25">
      <c r="L2978" s="65">
        <v>611711</v>
      </c>
      <c r="M2978" t="s">
        <v>1984</v>
      </c>
    </row>
    <row r="2979" spans="12:13" x14ac:dyDescent="0.25">
      <c r="L2979" s="65">
        <v>611800</v>
      </c>
      <c r="M2979" t="s">
        <v>1985</v>
      </c>
    </row>
    <row r="2980" spans="12:13" x14ac:dyDescent="0.25">
      <c r="L2980" s="65">
        <v>611810</v>
      </c>
      <c r="M2980" t="s">
        <v>1985</v>
      </c>
    </row>
    <row r="2981" spans="12:13" x14ac:dyDescent="0.25">
      <c r="L2981" s="65">
        <v>611811</v>
      </c>
      <c r="M2981" t="s">
        <v>1985</v>
      </c>
    </row>
    <row r="2982" spans="12:13" x14ac:dyDescent="0.25">
      <c r="L2982" s="65">
        <v>611900</v>
      </c>
      <c r="M2982" t="s">
        <v>1986</v>
      </c>
    </row>
    <row r="2983" spans="12:13" x14ac:dyDescent="0.25">
      <c r="L2983" s="65">
        <v>611910</v>
      </c>
      <c r="M2983" t="s">
        <v>2173</v>
      </c>
    </row>
    <row r="2984" spans="12:13" x14ac:dyDescent="0.25">
      <c r="L2984" s="65">
        <v>611911</v>
      </c>
      <c r="M2984" t="s">
        <v>2173</v>
      </c>
    </row>
    <row r="2985" spans="12:13" x14ac:dyDescent="0.25">
      <c r="L2985" s="65">
        <v>611920</v>
      </c>
      <c r="M2985" t="s">
        <v>2174</v>
      </c>
    </row>
    <row r="2986" spans="12:13" x14ac:dyDescent="0.25">
      <c r="L2986" s="65">
        <v>611921</v>
      </c>
      <c r="M2986" t="s">
        <v>2174</v>
      </c>
    </row>
    <row r="2987" spans="12:13" x14ac:dyDescent="0.25">
      <c r="L2987" s="65">
        <v>612000</v>
      </c>
      <c r="M2987" t="s">
        <v>1987</v>
      </c>
    </row>
    <row r="2988" spans="12:13" x14ac:dyDescent="0.25">
      <c r="L2988" s="65">
        <v>612100</v>
      </c>
      <c r="M2988" t="s">
        <v>1988</v>
      </c>
    </row>
    <row r="2989" spans="12:13" x14ac:dyDescent="0.25">
      <c r="L2989" s="65">
        <v>612110</v>
      </c>
      <c r="M2989" t="s">
        <v>2175</v>
      </c>
    </row>
    <row r="2990" spans="12:13" x14ac:dyDescent="0.25">
      <c r="L2990" s="65">
        <v>612111</v>
      </c>
      <c r="M2990" t="s">
        <v>2175</v>
      </c>
    </row>
    <row r="2991" spans="12:13" x14ac:dyDescent="0.25">
      <c r="L2991" s="65">
        <v>612120</v>
      </c>
      <c r="M2991" t="s">
        <v>2176</v>
      </c>
    </row>
    <row r="2992" spans="12:13" x14ac:dyDescent="0.25">
      <c r="L2992" s="65">
        <v>612121</v>
      </c>
      <c r="M2992" t="s">
        <v>2177</v>
      </c>
    </row>
    <row r="2993" spans="12:13" x14ac:dyDescent="0.25">
      <c r="L2993" s="65">
        <v>612122</v>
      </c>
      <c r="M2993" t="s">
        <v>2178</v>
      </c>
    </row>
    <row r="2994" spans="12:13" x14ac:dyDescent="0.25">
      <c r="L2994" s="65">
        <v>612200</v>
      </c>
      <c r="M2994" t="s">
        <v>1989</v>
      </c>
    </row>
    <row r="2995" spans="12:13" x14ac:dyDescent="0.25">
      <c r="L2995" s="65">
        <v>612210</v>
      </c>
      <c r="M2995" t="s">
        <v>2179</v>
      </c>
    </row>
    <row r="2996" spans="12:13" x14ac:dyDescent="0.25">
      <c r="L2996" s="65">
        <v>612211</v>
      </c>
      <c r="M2996" t="s">
        <v>2179</v>
      </c>
    </row>
    <row r="2997" spans="12:13" x14ac:dyDescent="0.25">
      <c r="L2997" s="65">
        <v>612220</v>
      </c>
      <c r="M2997" t="s">
        <v>2180</v>
      </c>
    </row>
    <row r="2998" spans="12:13" x14ac:dyDescent="0.25">
      <c r="L2998" s="65">
        <v>612221</v>
      </c>
      <c r="M2998" t="s">
        <v>2180</v>
      </c>
    </row>
    <row r="2999" spans="12:13" x14ac:dyDescent="0.25">
      <c r="L2999" s="65">
        <v>612290</v>
      </c>
      <c r="M2999" t="s">
        <v>2181</v>
      </c>
    </row>
    <row r="3000" spans="12:13" x14ac:dyDescent="0.25">
      <c r="L3000" s="65">
        <v>612291</v>
      </c>
      <c r="M3000" t="s">
        <v>2181</v>
      </c>
    </row>
    <row r="3001" spans="12:13" x14ac:dyDescent="0.25">
      <c r="L3001" s="65">
        <v>612300</v>
      </c>
      <c r="M3001" t="s">
        <v>1990</v>
      </c>
    </row>
    <row r="3002" spans="12:13" x14ac:dyDescent="0.25">
      <c r="L3002" s="65">
        <v>612310</v>
      </c>
      <c r="M3002" t="s">
        <v>2182</v>
      </c>
    </row>
    <row r="3003" spans="12:13" x14ac:dyDescent="0.25">
      <c r="L3003" s="65">
        <v>612311</v>
      </c>
      <c r="M3003" t="s">
        <v>2182</v>
      </c>
    </row>
    <row r="3004" spans="12:13" x14ac:dyDescent="0.25">
      <c r="L3004" s="65">
        <v>612320</v>
      </c>
      <c r="M3004" t="s">
        <v>2183</v>
      </c>
    </row>
    <row r="3005" spans="12:13" x14ac:dyDescent="0.25">
      <c r="L3005" s="65">
        <v>612321</v>
      </c>
      <c r="M3005" t="s">
        <v>2183</v>
      </c>
    </row>
    <row r="3006" spans="12:13" x14ac:dyDescent="0.25">
      <c r="L3006" s="65">
        <v>612330</v>
      </c>
      <c r="M3006" t="s">
        <v>2184</v>
      </c>
    </row>
    <row r="3007" spans="12:13" x14ac:dyDescent="0.25">
      <c r="L3007" s="65">
        <v>612331</v>
      </c>
      <c r="M3007" t="s">
        <v>2184</v>
      </c>
    </row>
    <row r="3008" spans="12:13" x14ac:dyDescent="0.25">
      <c r="L3008" s="65">
        <v>612340</v>
      </c>
      <c r="M3008" t="s">
        <v>2185</v>
      </c>
    </row>
    <row r="3009" spans="12:13" x14ac:dyDescent="0.25">
      <c r="L3009" s="65">
        <v>612341</v>
      </c>
      <c r="M3009" t="s">
        <v>2185</v>
      </c>
    </row>
    <row r="3010" spans="12:13" x14ac:dyDescent="0.25">
      <c r="L3010" s="65">
        <v>612350</v>
      </c>
      <c r="M3010" t="s">
        <v>2186</v>
      </c>
    </row>
    <row r="3011" spans="12:13" x14ac:dyDescent="0.25">
      <c r="L3011" s="65">
        <v>612351</v>
      </c>
      <c r="M3011" t="s">
        <v>2186</v>
      </c>
    </row>
    <row r="3012" spans="12:13" x14ac:dyDescent="0.25">
      <c r="L3012" s="65">
        <v>612390</v>
      </c>
      <c r="M3012" t="s">
        <v>2187</v>
      </c>
    </row>
    <row r="3013" spans="12:13" x14ac:dyDescent="0.25">
      <c r="L3013" s="65">
        <v>612391</v>
      </c>
      <c r="M3013" t="s">
        <v>2187</v>
      </c>
    </row>
    <row r="3014" spans="12:13" x14ac:dyDescent="0.25">
      <c r="L3014" s="65">
        <v>612400</v>
      </c>
      <c r="M3014" t="s">
        <v>2188</v>
      </c>
    </row>
    <row r="3015" spans="12:13" x14ac:dyDescent="0.25">
      <c r="L3015" s="65">
        <v>612410</v>
      </c>
      <c r="M3015" t="s">
        <v>2189</v>
      </c>
    </row>
    <row r="3016" spans="12:13" x14ac:dyDescent="0.25">
      <c r="L3016" s="65">
        <v>612411</v>
      </c>
      <c r="M3016" t="s">
        <v>2189</v>
      </c>
    </row>
    <row r="3017" spans="12:13" x14ac:dyDescent="0.25">
      <c r="L3017" s="65">
        <v>612490</v>
      </c>
      <c r="M3017" t="s">
        <v>2190</v>
      </c>
    </row>
    <row r="3018" spans="12:13" x14ac:dyDescent="0.25">
      <c r="L3018" s="65">
        <v>612491</v>
      </c>
      <c r="M3018" t="s">
        <v>2190</v>
      </c>
    </row>
    <row r="3019" spans="12:13" x14ac:dyDescent="0.25">
      <c r="L3019" s="65">
        <v>612500</v>
      </c>
      <c r="M3019" t="s">
        <v>2191</v>
      </c>
    </row>
    <row r="3020" spans="12:13" x14ac:dyDescent="0.25">
      <c r="L3020" s="65">
        <v>612510</v>
      </c>
      <c r="M3020" t="s">
        <v>2191</v>
      </c>
    </row>
    <row r="3021" spans="12:13" x14ac:dyDescent="0.25">
      <c r="L3021" s="65">
        <v>612511</v>
      </c>
      <c r="M3021" t="s">
        <v>2191</v>
      </c>
    </row>
    <row r="3022" spans="12:13" x14ac:dyDescent="0.25">
      <c r="L3022" s="65">
        <v>612600</v>
      </c>
      <c r="M3022" t="s">
        <v>1993</v>
      </c>
    </row>
    <row r="3023" spans="12:13" x14ac:dyDescent="0.25">
      <c r="L3023" s="65">
        <v>612610</v>
      </c>
      <c r="M3023" t="s">
        <v>1993</v>
      </c>
    </row>
    <row r="3024" spans="12:13" x14ac:dyDescent="0.25">
      <c r="L3024" s="65">
        <v>612611</v>
      </c>
      <c r="M3024" t="s">
        <v>1993</v>
      </c>
    </row>
    <row r="3025" spans="12:13" x14ac:dyDescent="0.25">
      <c r="L3025" s="65">
        <v>612900</v>
      </c>
      <c r="M3025" t="s">
        <v>1994</v>
      </c>
    </row>
    <row r="3026" spans="12:13" x14ac:dyDescent="0.25">
      <c r="L3026" s="65">
        <v>612910</v>
      </c>
      <c r="M3026" t="s">
        <v>2192</v>
      </c>
    </row>
    <row r="3027" spans="12:13" x14ac:dyDescent="0.25">
      <c r="L3027" s="65">
        <v>612911</v>
      </c>
      <c r="M3027" t="s">
        <v>2192</v>
      </c>
    </row>
    <row r="3028" spans="12:13" x14ac:dyDescent="0.25">
      <c r="L3028" s="65">
        <v>613000</v>
      </c>
      <c r="M3028" t="s">
        <v>1995</v>
      </c>
    </row>
    <row r="3029" spans="12:13" x14ac:dyDescent="0.25">
      <c r="L3029" s="65">
        <v>613100</v>
      </c>
      <c r="M3029" t="s">
        <v>1995</v>
      </c>
    </row>
    <row r="3030" spans="12:13" x14ac:dyDescent="0.25">
      <c r="L3030" s="65">
        <v>613110</v>
      </c>
      <c r="M3030" t="s">
        <v>1995</v>
      </c>
    </row>
    <row r="3031" spans="12:13" x14ac:dyDescent="0.25">
      <c r="L3031" s="65">
        <v>613111</v>
      </c>
      <c r="M3031" t="s">
        <v>1995</v>
      </c>
    </row>
    <row r="3032" spans="12:13" x14ac:dyDescent="0.25">
      <c r="L3032" s="65">
        <v>614000</v>
      </c>
      <c r="M3032" t="s">
        <v>1996</v>
      </c>
    </row>
    <row r="3033" spans="12:13" x14ac:dyDescent="0.25">
      <c r="L3033" s="65">
        <v>614100</v>
      </c>
      <c r="M3033" t="s">
        <v>1996</v>
      </c>
    </row>
    <row r="3034" spans="12:13" x14ac:dyDescent="0.25">
      <c r="L3034" s="65">
        <v>614110</v>
      </c>
      <c r="M3034" t="s">
        <v>1996</v>
      </c>
    </row>
    <row r="3035" spans="12:13" x14ac:dyDescent="0.25">
      <c r="L3035" s="65">
        <v>614111</v>
      </c>
      <c r="M3035" t="s">
        <v>2193</v>
      </c>
    </row>
    <row r="3036" spans="12:13" x14ac:dyDescent="0.25">
      <c r="L3036" s="65">
        <v>620000</v>
      </c>
      <c r="M3036" t="s">
        <v>1997</v>
      </c>
    </row>
    <row r="3037" spans="12:13" x14ac:dyDescent="0.25">
      <c r="L3037" s="65">
        <v>621000</v>
      </c>
      <c r="M3037" t="s">
        <v>1998</v>
      </c>
    </row>
    <row r="3038" spans="12:13" x14ac:dyDescent="0.25">
      <c r="L3038" s="65">
        <v>621100</v>
      </c>
      <c r="M3038" t="s">
        <v>1999</v>
      </c>
    </row>
    <row r="3039" spans="12:13" x14ac:dyDescent="0.25">
      <c r="L3039" s="65">
        <v>621110</v>
      </c>
      <c r="M3039" t="s">
        <v>2194</v>
      </c>
    </row>
    <row r="3040" spans="12:13" x14ac:dyDescent="0.25">
      <c r="L3040" s="65">
        <v>621111</v>
      </c>
      <c r="M3040" t="s">
        <v>2194</v>
      </c>
    </row>
    <row r="3041" spans="12:13" x14ac:dyDescent="0.25">
      <c r="L3041" s="65">
        <v>621120</v>
      </c>
      <c r="M3041" t="s">
        <v>564</v>
      </c>
    </row>
    <row r="3042" spans="12:13" x14ac:dyDescent="0.25">
      <c r="L3042" s="65">
        <v>621121</v>
      </c>
      <c r="M3042" t="s">
        <v>564</v>
      </c>
    </row>
    <row r="3043" spans="12:13" x14ac:dyDescent="0.25">
      <c r="L3043" s="65">
        <v>621200</v>
      </c>
      <c r="M3043" t="s">
        <v>566</v>
      </c>
    </row>
    <row r="3044" spans="12:13" x14ac:dyDescent="0.25">
      <c r="L3044" s="65">
        <v>621210</v>
      </c>
      <c r="M3044" t="s">
        <v>567</v>
      </c>
    </row>
    <row r="3045" spans="12:13" x14ac:dyDescent="0.25">
      <c r="L3045" s="65">
        <v>621211</v>
      </c>
      <c r="M3045" t="s">
        <v>567</v>
      </c>
    </row>
    <row r="3046" spans="12:13" x14ac:dyDescent="0.25">
      <c r="L3046" s="65">
        <v>621220</v>
      </c>
      <c r="M3046" t="s">
        <v>568</v>
      </c>
    </row>
    <row r="3047" spans="12:13" x14ac:dyDescent="0.25">
      <c r="L3047" s="65">
        <v>621221</v>
      </c>
      <c r="M3047" t="s">
        <v>568</v>
      </c>
    </row>
    <row r="3048" spans="12:13" x14ac:dyDescent="0.25">
      <c r="L3048" s="65">
        <v>621230</v>
      </c>
      <c r="M3048" t="s">
        <v>569</v>
      </c>
    </row>
    <row r="3049" spans="12:13" x14ac:dyDescent="0.25">
      <c r="L3049" s="65">
        <v>621231</v>
      </c>
      <c r="M3049" t="s">
        <v>569</v>
      </c>
    </row>
    <row r="3050" spans="12:13" x14ac:dyDescent="0.25">
      <c r="L3050" s="65">
        <v>621240</v>
      </c>
      <c r="M3050" t="s">
        <v>570</v>
      </c>
    </row>
    <row r="3051" spans="12:13" x14ac:dyDescent="0.25">
      <c r="L3051" s="65">
        <v>621241</v>
      </c>
      <c r="M3051" t="s">
        <v>570</v>
      </c>
    </row>
    <row r="3052" spans="12:13" x14ac:dyDescent="0.25">
      <c r="L3052" s="65">
        <v>621250</v>
      </c>
      <c r="M3052" t="s">
        <v>571</v>
      </c>
    </row>
    <row r="3053" spans="12:13" x14ac:dyDescent="0.25">
      <c r="L3053" s="65">
        <v>621251</v>
      </c>
      <c r="M3053" t="s">
        <v>572</v>
      </c>
    </row>
    <row r="3054" spans="12:13" x14ac:dyDescent="0.25">
      <c r="L3054" s="65">
        <v>621252</v>
      </c>
      <c r="M3054" t="s">
        <v>573</v>
      </c>
    </row>
    <row r="3055" spans="12:13" x14ac:dyDescent="0.25">
      <c r="L3055" s="65">
        <v>621255</v>
      </c>
      <c r="M3055" t="s">
        <v>574</v>
      </c>
    </row>
    <row r="3056" spans="12:13" x14ac:dyDescent="0.25">
      <c r="L3056" s="65">
        <v>621300</v>
      </c>
      <c r="M3056" t="s">
        <v>581</v>
      </c>
    </row>
    <row r="3057" spans="12:13" x14ac:dyDescent="0.25">
      <c r="L3057" s="65">
        <v>621310</v>
      </c>
      <c r="M3057" t="s">
        <v>582</v>
      </c>
    </row>
    <row r="3058" spans="12:13" x14ac:dyDescent="0.25">
      <c r="L3058" s="65">
        <v>621311</v>
      </c>
      <c r="M3058" t="s">
        <v>582</v>
      </c>
    </row>
    <row r="3059" spans="12:13" x14ac:dyDescent="0.25">
      <c r="L3059" s="65">
        <v>621390</v>
      </c>
      <c r="M3059" t="s">
        <v>583</v>
      </c>
    </row>
    <row r="3060" spans="12:13" x14ac:dyDescent="0.25">
      <c r="L3060" s="65">
        <v>621391</v>
      </c>
      <c r="M3060" t="s">
        <v>583</v>
      </c>
    </row>
    <row r="3061" spans="12:13" x14ac:dyDescent="0.25">
      <c r="L3061" s="65">
        <v>621400</v>
      </c>
      <c r="M3061" t="s">
        <v>588</v>
      </c>
    </row>
    <row r="3062" spans="12:13" x14ac:dyDescent="0.25">
      <c r="L3062" s="65">
        <v>621410</v>
      </c>
      <c r="M3062" t="s">
        <v>588</v>
      </c>
    </row>
    <row r="3063" spans="12:13" x14ac:dyDescent="0.25">
      <c r="L3063" s="65">
        <v>621411</v>
      </c>
      <c r="M3063" t="s">
        <v>588</v>
      </c>
    </row>
    <row r="3064" spans="12:13" x14ac:dyDescent="0.25">
      <c r="L3064" s="65">
        <v>621500</v>
      </c>
      <c r="M3064" t="s">
        <v>2195</v>
      </c>
    </row>
    <row r="3065" spans="12:13" x14ac:dyDescent="0.25">
      <c r="L3065" s="65">
        <v>621510</v>
      </c>
      <c r="M3065" t="s">
        <v>2195</v>
      </c>
    </row>
    <row r="3066" spans="12:13" x14ac:dyDescent="0.25">
      <c r="L3066" s="65">
        <v>621511</v>
      </c>
      <c r="M3066" t="s">
        <v>2195</v>
      </c>
    </row>
    <row r="3067" spans="12:13" x14ac:dyDescent="0.25">
      <c r="L3067" s="65">
        <v>621600</v>
      </c>
      <c r="M3067" t="s">
        <v>592</v>
      </c>
    </row>
    <row r="3068" spans="12:13" x14ac:dyDescent="0.25">
      <c r="L3068" s="65">
        <v>621610</v>
      </c>
      <c r="M3068" t="s">
        <v>592</v>
      </c>
    </row>
    <row r="3069" spans="12:13" x14ac:dyDescent="0.25">
      <c r="L3069" s="65">
        <v>621611</v>
      </c>
      <c r="M3069" t="s">
        <v>2196</v>
      </c>
    </row>
    <row r="3070" spans="12:13" x14ac:dyDescent="0.25">
      <c r="L3070" s="65">
        <v>621612</v>
      </c>
      <c r="M3070" t="s">
        <v>2197</v>
      </c>
    </row>
    <row r="3071" spans="12:13" x14ac:dyDescent="0.25">
      <c r="L3071" s="65">
        <v>621613</v>
      </c>
      <c r="M3071" t="s">
        <v>595</v>
      </c>
    </row>
    <row r="3072" spans="12:13" x14ac:dyDescent="0.25">
      <c r="L3072" s="65">
        <v>621700</v>
      </c>
      <c r="M3072" t="s">
        <v>2198</v>
      </c>
    </row>
    <row r="3073" spans="12:13" x14ac:dyDescent="0.25">
      <c r="L3073" s="65">
        <v>621710</v>
      </c>
      <c r="M3073" t="s">
        <v>2198</v>
      </c>
    </row>
    <row r="3074" spans="12:13" x14ac:dyDescent="0.25">
      <c r="L3074" s="65">
        <v>621711</v>
      </c>
      <c r="M3074" t="s">
        <v>598</v>
      </c>
    </row>
    <row r="3075" spans="12:13" x14ac:dyDescent="0.25">
      <c r="L3075" s="65">
        <v>621712</v>
      </c>
      <c r="M3075" t="s">
        <v>599</v>
      </c>
    </row>
    <row r="3076" spans="12:13" x14ac:dyDescent="0.25">
      <c r="L3076" s="65">
        <v>621800</v>
      </c>
      <c r="M3076" t="s">
        <v>601</v>
      </c>
    </row>
    <row r="3077" spans="12:13" x14ac:dyDescent="0.25">
      <c r="L3077" s="65">
        <v>621810</v>
      </c>
      <c r="M3077" t="s">
        <v>601</v>
      </c>
    </row>
    <row r="3078" spans="12:13" x14ac:dyDescent="0.25">
      <c r="L3078" s="65">
        <v>621811</v>
      </c>
      <c r="M3078" t="s">
        <v>601</v>
      </c>
    </row>
    <row r="3079" spans="12:13" x14ac:dyDescent="0.25">
      <c r="L3079" s="65">
        <v>621900</v>
      </c>
      <c r="M3079" t="s">
        <v>2001</v>
      </c>
    </row>
    <row r="3080" spans="12:13" x14ac:dyDescent="0.25">
      <c r="L3080" s="65">
        <v>621910</v>
      </c>
      <c r="M3080" t="s">
        <v>2199</v>
      </c>
    </row>
    <row r="3081" spans="12:13" x14ac:dyDescent="0.25">
      <c r="L3081" s="65">
        <v>621911</v>
      </c>
      <c r="M3081" t="s">
        <v>2199</v>
      </c>
    </row>
    <row r="3082" spans="12:13" x14ac:dyDescent="0.25">
      <c r="L3082" s="65">
        <v>621920</v>
      </c>
      <c r="M3082" t="s">
        <v>605</v>
      </c>
    </row>
    <row r="3083" spans="12:13" x14ac:dyDescent="0.25">
      <c r="L3083" s="65">
        <v>621921</v>
      </c>
      <c r="M3083" t="s">
        <v>606</v>
      </c>
    </row>
    <row r="3084" spans="12:13" x14ac:dyDescent="0.25">
      <c r="L3084" s="65">
        <v>621922</v>
      </c>
      <c r="M3084" t="s">
        <v>2200</v>
      </c>
    </row>
    <row r="3085" spans="12:13" x14ac:dyDescent="0.25">
      <c r="L3085" s="65">
        <v>621930</v>
      </c>
      <c r="M3085" t="s">
        <v>608</v>
      </c>
    </row>
    <row r="3086" spans="12:13" x14ac:dyDescent="0.25">
      <c r="L3086" s="65">
        <v>621931</v>
      </c>
      <c r="M3086" t="s">
        <v>608</v>
      </c>
    </row>
    <row r="3087" spans="12:13" x14ac:dyDescent="0.25">
      <c r="L3087" s="65">
        <v>621940</v>
      </c>
      <c r="M3087" t="s">
        <v>609</v>
      </c>
    </row>
    <row r="3088" spans="12:13" x14ac:dyDescent="0.25">
      <c r="L3088" s="65">
        <v>621941</v>
      </c>
      <c r="M3088" t="s">
        <v>609</v>
      </c>
    </row>
    <row r="3089" spans="12:13" x14ac:dyDescent="0.25">
      <c r="L3089" s="65">
        <v>622000</v>
      </c>
      <c r="M3089" t="s">
        <v>2002</v>
      </c>
    </row>
    <row r="3090" spans="12:13" x14ac:dyDescent="0.25">
      <c r="L3090" s="65">
        <v>622100</v>
      </c>
      <c r="M3090" t="s">
        <v>2003</v>
      </c>
    </row>
    <row r="3091" spans="12:13" x14ac:dyDescent="0.25">
      <c r="L3091" s="65">
        <v>622110</v>
      </c>
      <c r="M3091" t="s">
        <v>2201</v>
      </c>
    </row>
    <row r="3092" spans="12:13" x14ac:dyDescent="0.25">
      <c r="L3092" s="65">
        <v>622111</v>
      </c>
      <c r="M3092" t="s">
        <v>2201</v>
      </c>
    </row>
    <row r="3093" spans="12:13" x14ac:dyDescent="0.25">
      <c r="L3093" s="65">
        <v>622120</v>
      </c>
      <c r="M3093" t="s">
        <v>2202</v>
      </c>
    </row>
    <row r="3094" spans="12:13" x14ac:dyDescent="0.25">
      <c r="L3094" s="65">
        <v>622121</v>
      </c>
      <c r="M3094" t="s">
        <v>2202</v>
      </c>
    </row>
    <row r="3095" spans="12:13" x14ac:dyDescent="0.25">
      <c r="L3095" s="65">
        <v>622200</v>
      </c>
      <c r="M3095" t="s">
        <v>618</v>
      </c>
    </row>
    <row r="3096" spans="12:13" x14ac:dyDescent="0.25">
      <c r="L3096" s="65">
        <v>622210</v>
      </c>
      <c r="M3096" t="s">
        <v>618</v>
      </c>
    </row>
    <row r="3097" spans="12:13" x14ac:dyDescent="0.25">
      <c r="L3097" s="65">
        <v>622211</v>
      </c>
      <c r="M3097" t="s">
        <v>618</v>
      </c>
    </row>
    <row r="3098" spans="12:13" x14ac:dyDescent="0.25">
      <c r="L3098" s="65">
        <v>622300</v>
      </c>
      <c r="M3098" t="s">
        <v>620</v>
      </c>
    </row>
    <row r="3099" spans="12:13" x14ac:dyDescent="0.25">
      <c r="L3099" s="65">
        <v>622310</v>
      </c>
      <c r="M3099" t="s">
        <v>620</v>
      </c>
    </row>
    <row r="3100" spans="12:13" x14ac:dyDescent="0.25">
      <c r="L3100" s="65">
        <v>622311</v>
      </c>
      <c r="M3100" t="s">
        <v>620</v>
      </c>
    </row>
    <row r="3101" spans="12:13" x14ac:dyDescent="0.25">
      <c r="L3101" s="65">
        <v>622400</v>
      </c>
      <c r="M3101" t="s">
        <v>622</v>
      </c>
    </row>
    <row r="3102" spans="12:13" x14ac:dyDescent="0.25">
      <c r="L3102" s="65">
        <v>622410</v>
      </c>
      <c r="M3102" t="s">
        <v>622</v>
      </c>
    </row>
    <row r="3103" spans="12:13" x14ac:dyDescent="0.25">
      <c r="L3103" s="65">
        <v>622411</v>
      </c>
      <c r="M3103" t="s">
        <v>622</v>
      </c>
    </row>
    <row r="3104" spans="12:13" x14ac:dyDescent="0.25">
      <c r="L3104" s="65">
        <v>622500</v>
      </c>
      <c r="M3104" t="s">
        <v>624</v>
      </c>
    </row>
    <row r="3105" spans="12:13" x14ac:dyDescent="0.25">
      <c r="L3105" s="65">
        <v>622510</v>
      </c>
      <c r="M3105" t="s">
        <v>624</v>
      </c>
    </row>
    <row r="3106" spans="12:13" x14ac:dyDescent="0.25">
      <c r="L3106" s="65">
        <v>622511</v>
      </c>
      <c r="M3106" t="s">
        <v>624</v>
      </c>
    </row>
    <row r="3107" spans="12:13" x14ac:dyDescent="0.25">
      <c r="L3107" s="65">
        <v>622600</v>
      </c>
      <c r="M3107" t="s">
        <v>626</v>
      </c>
    </row>
    <row r="3108" spans="12:13" x14ac:dyDescent="0.25">
      <c r="L3108" s="65">
        <v>622610</v>
      </c>
      <c r="M3108" t="s">
        <v>626</v>
      </c>
    </row>
    <row r="3109" spans="12:13" x14ac:dyDescent="0.25">
      <c r="L3109" s="65">
        <v>622611</v>
      </c>
      <c r="M3109" t="s">
        <v>627</v>
      </c>
    </row>
    <row r="3110" spans="12:13" x14ac:dyDescent="0.25">
      <c r="L3110" s="65">
        <v>622612</v>
      </c>
      <c r="M3110" t="s">
        <v>628</v>
      </c>
    </row>
    <row r="3111" spans="12:13" x14ac:dyDescent="0.25">
      <c r="L3111" s="65">
        <v>622700</v>
      </c>
      <c r="M3111" t="s">
        <v>2004</v>
      </c>
    </row>
    <row r="3112" spans="12:13" x14ac:dyDescent="0.25">
      <c r="L3112" s="65">
        <v>622710</v>
      </c>
      <c r="M3112" t="s">
        <v>631</v>
      </c>
    </row>
    <row r="3113" spans="12:13" x14ac:dyDescent="0.25">
      <c r="L3113" s="65">
        <v>622711</v>
      </c>
      <c r="M3113" t="s">
        <v>631</v>
      </c>
    </row>
    <row r="3114" spans="12:13" x14ac:dyDescent="0.25">
      <c r="L3114" s="65">
        <v>622720</v>
      </c>
      <c r="M3114" t="s">
        <v>632</v>
      </c>
    </row>
    <row r="3115" spans="12:13" x14ac:dyDescent="0.25">
      <c r="L3115" s="65">
        <v>622721</v>
      </c>
      <c r="M3115" t="s">
        <v>632</v>
      </c>
    </row>
    <row r="3116" spans="12:13" x14ac:dyDescent="0.25">
      <c r="L3116" s="65">
        <v>622800</v>
      </c>
      <c r="M3116" t="s">
        <v>2005</v>
      </c>
    </row>
    <row r="3117" spans="12:13" x14ac:dyDescent="0.25">
      <c r="L3117" s="65">
        <v>622810</v>
      </c>
      <c r="M3117" t="s">
        <v>2005</v>
      </c>
    </row>
    <row r="3118" spans="12:13" x14ac:dyDescent="0.25">
      <c r="L3118" s="65">
        <v>622811</v>
      </c>
      <c r="M3118" t="s">
        <v>2005</v>
      </c>
    </row>
    <row r="3119" spans="12:13" x14ac:dyDescent="0.25">
      <c r="L3119" s="65">
        <v>623000</v>
      </c>
      <c r="M3119" t="s">
        <v>2203</v>
      </c>
    </row>
    <row r="3120" spans="12:13" x14ac:dyDescent="0.25">
      <c r="L3120" s="65">
        <v>623100</v>
      </c>
      <c r="M3120" t="s">
        <v>2204</v>
      </c>
    </row>
    <row r="3121" spans="12:13" x14ac:dyDescent="0.25">
      <c r="L3121" s="65">
        <v>623110</v>
      </c>
      <c r="M3121" t="s">
        <v>2204</v>
      </c>
    </row>
    <row r="3122" spans="12:13" x14ac:dyDescent="0.25">
      <c r="L3122" s="65">
        <v>623111</v>
      </c>
      <c r="M3122" t="s">
        <v>2204</v>
      </c>
    </row>
    <row r="3123" spans="12:13" x14ac:dyDescent="0.25">
      <c r="L3123" s="65">
        <v>690000</v>
      </c>
      <c r="M3123" t="s">
        <v>2205</v>
      </c>
    </row>
    <row r="3124" spans="12:13" x14ac:dyDescent="0.25">
      <c r="L3124" s="65">
        <v>699000</v>
      </c>
      <c r="M3124" t="s">
        <v>2205</v>
      </c>
    </row>
    <row r="3125" spans="12:13" x14ac:dyDescent="0.25">
      <c r="L3125" s="65">
        <v>699900</v>
      </c>
      <c r="M3125" t="s">
        <v>2205</v>
      </c>
    </row>
    <row r="3126" spans="12:13" x14ac:dyDescent="0.25">
      <c r="L3126" s="65">
        <v>699990</v>
      </c>
      <c r="M3126" t="s">
        <v>2205</v>
      </c>
    </row>
    <row r="3127" spans="12:13" x14ac:dyDescent="0.25">
      <c r="L3127" s="65">
        <v>699999</v>
      </c>
      <c r="M3127" t="s">
        <v>2205</v>
      </c>
    </row>
    <row r="3128" spans="12:13" x14ac:dyDescent="0.25">
      <c r="L3128" s="65">
        <v>700000</v>
      </c>
      <c r="M3128" t="s">
        <v>2207</v>
      </c>
    </row>
    <row r="3129" spans="12:13" x14ac:dyDescent="0.25">
      <c r="L3129" s="65">
        <v>710000</v>
      </c>
      <c r="M3129" t="s">
        <v>2208</v>
      </c>
    </row>
    <row r="3130" spans="12:13" x14ac:dyDescent="0.25">
      <c r="L3130" s="65">
        <v>711000</v>
      </c>
      <c r="M3130" t="s">
        <v>2209</v>
      </c>
    </row>
    <row r="3131" spans="12:13" x14ac:dyDescent="0.25">
      <c r="L3131" s="65">
        <v>711100</v>
      </c>
      <c r="M3131" t="s">
        <v>2210</v>
      </c>
    </row>
    <row r="3132" spans="12:13" x14ac:dyDescent="0.25">
      <c r="L3132" s="65">
        <v>711110</v>
      </c>
      <c r="M3132" t="s">
        <v>2211</v>
      </c>
    </row>
    <row r="3133" spans="12:13" x14ac:dyDescent="0.25">
      <c r="L3133" s="65">
        <v>711111</v>
      </c>
      <c r="M3133" t="s">
        <v>2211</v>
      </c>
    </row>
    <row r="3134" spans="12:13" x14ac:dyDescent="0.25">
      <c r="L3134" s="65">
        <v>711120</v>
      </c>
      <c r="M3134" t="s">
        <v>2212</v>
      </c>
    </row>
    <row r="3135" spans="12:13" x14ac:dyDescent="0.25">
      <c r="L3135" s="65">
        <v>711121</v>
      </c>
      <c r="M3135" t="s">
        <v>2213</v>
      </c>
    </row>
    <row r="3136" spans="12:13" x14ac:dyDescent="0.25">
      <c r="L3136" s="65">
        <v>711122</v>
      </c>
      <c r="M3136" t="s">
        <v>2214</v>
      </c>
    </row>
    <row r="3137" spans="12:13" x14ac:dyDescent="0.25">
      <c r="L3137" s="65">
        <v>711130</v>
      </c>
      <c r="M3137" t="s">
        <v>2215</v>
      </c>
    </row>
    <row r="3138" spans="12:13" x14ac:dyDescent="0.25">
      <c r="L3138" s="65">
        <v>711131</v>
      </c>
      <c r="M3138" t="s">
        <v>2216</v>
      </c>
    </row>
    <row r="3139" spans="12:13" x14ac:dyDescent="0.25">
      <c r="L3139" s="65">
        <v>711140</v>
      </c>
      <c r="M3139" t="s">
        <v>2217</v>
      </c>
    </row>
    <row r="3140" spans="12:13" x14ac:dyDescent="0.25">
      <c r="L3140" s="65">
        <v>711141</v>
      </c>
      <c r="M3140" t="s">
        <v>2218</v>
      </c>
    </row>
    <row r="3141" spans="12:13" x14ac:dyDescent="0.25">
      <c r="L3141" s="65">
        <v>711142</v>
      </c>
      <c r="M3141" t="s">
        <v>2219</v>
      </c>
    </row>
    <row r="3142" spans="12:13" x14ac:dyDescent="0.25">
      <c r="L3142" s="65">
        <v>711143</v>
      </c>
      <c r="M3142" t="s">
        <v>2220</v>
      </c>
    </row>
    <row r="3143" spans="12:13" x14ac:dyDescent="0.25">
      <c r="L3143" s="65">
        <v>711144</v>
      </c>
      <c r="M3143" t="s">
        <v>2221</v>
      </c>
    </row>
    <row r="3144" spans="12:13" x14ac:dyDescent="0.25">
      <c r="L3144" s="65">
        <v>711145</v>
      </c>
      <c r="M3144" t="s">
        <v>2222</v>
      </c>
    </row>
    <row r="3145" spans="12:13" x14ac:dyDescent="0.25">
      <c r="L3145" s="65">
        <v>711146</v>
      </c>
      <c r="M3145" t="s">
        <v>2223</v>
      </c>
    </row>
    <row r="3146" spans="12:13" x14ac:dyDescent="0.25">
      <c r="L3146" s="65">
        <v>711147</v>
      </c>
      <c r="M3146" t="s">
        <v>2224</v>
      </c>
    </row>
    <row r="3147" spans="12:13" x14ac:dyDescent="0.25">
      <c r="L3147" s="65">
        <v>711148</v>
      </c>
      <c r="M3147" t="s">
        <v>2225</v>
      </c>
    </row>
    <row r="3148" spans="12:13" x14ac:dyDescent="0.25">
      <c r="L3148" s="65">
        <v>711149</v>
      </c>
      <c r="M3148" t="s">
        <v>2226</v>
      </c>
    </row>
    <row r="3149" spans="12:13" x14ac:dyDescent="0.25">
      <c r="L3149" s="65">
        <v>711150</v>
      </c>
      <c r="M3149" t="s">
        <v>2227</v>
      </c>
    </row>
    <row r="3150" spans="12:13" x14ac:dyDescent="0.25">
      <c r="L3150" s="65">
        <v>711151</v>
      </c>
      <c r="M3150" t="s">
        <v>2227</v>
      </c>
    </row>
    <row r="3151" spans="12:13" x14ac:dyDescent="0.25">
      <c r="L3151" s="65">
        <v>711160</v>
      </c>
      <c r="M3151" t="s">
        <v>2228</v>
      </c>
    </row>
    <row r="3152" spans="12:13" x14ac:dyDescent="0.25">
      <c r="L3152" s="65">
        <v>711161</v>
      </c>
      <c r="M3152" t="s">
        <v>2228</v>
      </c>
    </row>
    <row r="3153" spans="12:13" x14ac:dyDescent="0.25">
      <c r="L3153" s="65">
        <v>711170</v>
      </c>
      <c r="M3153" t="s">
        <v>2229</v>
      </c>
    </row>
    <row r="3154" spans="12:13" x14ac:dyDescent="0.25">
      <c r="L3154" s="65">
        <v>711171</v>
      </c>
      <c r="M3154" t="s">
        <v>2229</v>
      </c>
    </row>
    <row r="3155" spans="12:13" x14ac:dyDescent="0.25">
      <c r="L3155" s="65">
        <v>711180</v>
      </c>
      <c r="M3155" t="s">
        <v>2230</v>
      </c>
    </row>
    <row r="3156" spans="12:13" x14ac:dyDescent="0.25">
      <c r="L3156" s="65">
        <v>711181</v>
      </c>
      <c r="M3156" t="s">
        <v>2231</v>
      </c>
    </row>
    <row r="3157" spans="12:13" x14ac:dyDescent="0.25">
      <c r="L3157" s="65">
        <v>711182</v>
      </c>
      <c r="M3157" t="s">
        <v>2232</v>
      </c>
    </row>
    <row r="3158" spans="12:13" x14ac:dyDescent="0.25">
      <c r="L3158" s="65">
        <v>711183</v>
      </c>
      <c r="M3158" t="s">
        <v>2233</v>
      </c>
    </row>
    <row r="3159" spans="12:13" x14ac:dyDescent="0.25">
      <c r="L3159" s="65">
        <v>711184</v>
      </c>
      <c r="M3159" t="s">
        <v>2234</v>
      </c>
    </row>
    <row r="3160" spans="12:13" x14ac:dyDescent="0.25">
      <c r="L3160" s="65">
        <v>711185</v>
      </c>
      <c r="M3160" t="s">
        <v>2235</v>
      </c>
    </row>
    <row r="3161" spans="12:13" x14ac:dyDescent="0.25">
      <c r="L3161" s="65">
        <v>711190</v>
      </c>
      <c r="M3161" t="s">
        <v>2236</v>
      </c>
    </row>
    <row r="3162" spans="12:13" x14ac:dyDescent="0.25">
      <c r="L3162" s="65">
        <v>711191</v>
      </c>
      <c r="M3162" t="s">
        <v>2237</v>
      </c>
    </row>
    <row r="3163" spans="12:13" x14ac:dyDescent="0.25">
      <c r="L3163" s="65">
        <v>711192</v>
      </c>
      <c r="M3163" t="s">
        <v>2238</v>
      </c>
    </row>
    <row r="3164" spans="12:13" x14ac:dyDescent="0.25">
      <c r="L3164" s="65">
        <v>711193</v>
      </c>
      <c r="M3164" t="s">
        <v>2239</v>
      </c>
    </row>
    <row r="3165" spans="12:13" x14ac:dyDescent="0.25">
      <c r="L3165" s="65">
        <v>711194</v>
      </c>
      <c r="M3165" t="s">
        <v>2240</v>
      </c>
    </row>
    <row r="3166" spans="12:13" x14ac:dyDescent="0.25">
      <c r="L3166" s="65">
        <v>711195</v>
      </c>
      <c r="M3166" t="s">
        <v>2241</v>
      </c>
    </row>
    <row r="3167" spans="12:13" x14ac:dyDescent="0.25">
      <c r="L3167" s="65">
        <v>711200</v>
      </c>
      <c r="M3167" t="s">
        <v>2242</v>
      </c>
    </row>
    <row r="3168" spans="12:13" x14ac:dyDescent="0.25">
      <c r="L3168" s="65">
        <v>711210</v>
      </c>
      <c r="M3168" t="s">
        <v>2243</v>
      </c>
    </row>
    <row r="3169" spans="12:13" x14ac:dyDescent="0.25">
      <c r="L3169" s="65">
        <v>711211</v>
      </c>
      <c r="M3169" t="s">
        <v>2244</v>
      </c>
    </row>
    <row r="3170" spans="12:13" x14ac:dyDescent="0.25">
      <c r="L3170" s="65">
        <v>711212</v>
      </c>
      <c r="M3170" t="s">
        <v>2245</v>
      </c>
    </row>
    <row r="3171" spans="12:13" x14ac:dyDescent="0.25">
      <c r="L3171" s="65">
        <v>711213</v>
      </c>
      <c r="M3171" t="s">
        <v>2246</v>
      </c>
    </row>
    <row r="3172" spans="12:13" x14ac:dyDescent="0.25">
      <c r="L3172" s="65">
        <v>711214</v>
      </c>
      <c r="M3172" t="s">
        <v>2247</v>
      </c>
    </row>
    <row r="3173" spans="12:13" x14ac:dyDescent="0.25">
      <c r="L3173" s="65">
        <v>711215</v>
      </c>
      <c r="M3173" t="s">
        <v>2248</v>
      </c>
    </row>
    <row r="3174" spans="12:13" x14ac:dyDescent="0.25">
      <c r="L3174" s="65">
        <v>711216</v>
      </c>
      <c r="M3174" t="s">
        <v>2249</v>
      </c>
    </row>
    <row r="3175" spans="12:13" x14ac:dyDescent="0.25">
      <c r="L3175" s="65">
        <v>711217</v>
      </c>
      <c r="M3175" t="s">
        <v>2250</v>
      </c>
    </row>
    <row r="3176" spans="12:13" x14ac:dyDescent="0.25">
      <c r="L3176" s="65">
        <v>711218</v>
      </c>
      <c r="M3176" t="s">
        <v>2251</v>
      </c>
    </row>
    <row r="3177" spans="12:13" x14ac:dyDescent="0.25">
      <c r="L3177" s="65">
        <v>711300</v>
      </c>
      <c r="M3177" t="s">
        <v>2252</v>
      </c>
    </row>
    <row r="3178" spans="12:13" x14ac:dyDescent="0.25">
      <c r="L3178">
        <v>711310</v>
      </c>
      <c r="M3178" t="s">
        <v>2252</v>
      </c>
    </row>
    <row r="3179" spans="12:13" x14ac:dyDescent="0.25">
      <c r="L3179" s="65">
        <v>711311</v>
      </c>
      <c r="M3179" t="s">
        <v>2252</v>
      </c>
    </row>
    <row r="3180" spans="12:13" x14ac:dyDescent="0.25">
      <c r="L3180" s="65">
        <v>712000</v>
      </c>
      <c r="M3180" t="s">
        <v>2253</v>
      </c>
    </row>
    <row r="3181" spans="12:13" x14ac:dyDescent="0.25">
      <c r="L3181" s="65">
        <v>712100</v>
      </c>
      <c r="M3181" t="s">
        <v>2253</v>
      </c>
    </row>
    <row r="3182" spans="12:13" x14ac:dyDescent="0.25">
      <c r="L3182" s="65">
        <v>712110</v>
      </c>
      <c r="M3182" t="s">
        <v>2253</v>
      </c>
    </row>
    <row r="3183" spans="12:13" x14ac:dyDescent="0.25">
      <c r="L3183" s="65">
        <v>712111</v>
      </c>
      <c r="M3183" t="s">
        <v>2254</v>
      </c>
    </row>
    <row r="3184" spans="12:13" x14ac:dyDescent="0.25">
      <c r="L3184" s="65">
        <v>712112</v>
      </c>
      <c r="M3184" t="s">
        <v>2255</v>
      </c>
    </row>
    <row r="3185" spans="12:13" x14ac:dyDescent="0.25">
      <c r="L3185" s="65">
        <v>712113</v>
      </c>
      <c r="M3185" t="s">
        <v>2256</v>
      </c>
    </row>
    <row r="3186" spans="12:13" x14ac:dyDescent="0.25">
      <c r="L3186" s="65">
        <v>713000</v>
      </c>
      <c r="M3186" t="s">
        <v>2257</v>
      </c>
    </row>
    <row r="3187" spans="12:13" x14ac:dyDescent="0.25">
      <c r="L3187" s="65">
        <v>713100</v>
      </c>
      <c r="M3187" t="s">
        <v>2258</v>
      </c>
    </row>
    <row r="3188" spans="12:13" x14ac:dyDescent="0.25">
      <c r="L3188" s="65">
        <v>713110</v>
      </c>
      <c r="M3188" t="s">
        <v>2259</v>
      </c>
    </row>
    <row r="3189" spans="12:13" x14ac:dyDescent="0.25">
      <c r="L3189" s="65">
        <v>713111</v>
      </c>
      <c r="M3189" t="s">
        <v>2260</v>
      </c>
    </row>
    <row r="3190" spans="12:13" x14ac:dyDescent="0.25">
      <c r="L3190" s="65">
        <v>713120</v>
      </c>
      <c r="M3190" t="s">
        <v>2257</v>
      </c>
    </row>
    <row r="3191" spans="12:13" x14ac:dyDescent="0.25">
      <c r="L3191" s="65">
        <v>713121</v>
      </c>
      <c r="M3191" t="s">
        <v>2261</v>
      </c>
    </row>
    <row r="3192" spans="12:13" x14ac:dyDescent="0.25">
      <c r="L3192" s="65">
        <v>713122</v>
      </c>
      <c r="M3192" t="s">
        <v>2262</v>
      </c>
    </row>
    <row r="3193" spans="12:13" x14ac:dyDescent="0.25">
      <c r="L3193" s="65">
        <v>713200</v>
      </c>
      <c r="M3193" t="s">
        <v>2263</v>
      </c>
    </row>
    <row r="3194" spans="12:13" x14ac:dyDescent="0.25">
      <c r="L3194" s="65">
        <v>713210</v>
      </c>
      <c r="M3194" t="s">
        <v>2263</v>
      </c>
    </row>
    <row r="3195" spans="12:13" x14ac:dyDescent="0.25">
      <c r="L3195" s="65">
        <v>713211</v>
      </c>
      <c r="M3195" t="s">
        <v>2263</v>
      </c>
    </row>
    <row r="3196" spans="12:13" x14ac:dyDescent="0.25">
      <c r="L3196" s="65">
        <v>713300</v>
      </c>
      <c r="M3196" t="s">
        <v>2264</v>
      </c>
    </row>
    <row r="3197" spans="12:13" x14ac:dyDescent="0.25">
      <c r="L3197" s="65">
        <v>713310</v>
      </c>
      <c r="M3197" t="s">
        <v>2265</v>
      </c>
    </row>
    <row r="3198" spans="12:13" x14ac:dyDescent="0.25">
      <c r="L3198" s="65">
        <v>713311</v>
      </c>
      <c r="M3198" t="s">
        <v>2266</v>
      </c>
    </row>
    <row r="3199" spans="12:13" x14ac:dyDescent="0.25">
      <c r="L3199" s="65">
        <v>713400</v>
      </c>
      <c r="M3199" t="s">
        <v>2267</v>
      </c>
    </row>
    <row r="3200" spans="12:13" x14ac:dyDescent="0.25">
      <c r="L3200" s="65">
        <v>713410</v>
      </c>
      <c r="M3200" t="s">
        <v>1926</v>
      </c>
    </row>
    <row r="3201" spans="12:13" x14ac:dyDescent="0.25">
      <c r="L3201" s="65">
        <v>713411</v>
      </c>
      <c r="M3201" t="s">
        <v>1926</v>
      </c>
    </row>
    <row r="3202" spans="12:13" x14ac:dyDescent="0.25">
      <c r="L3202" s="65">
        <v>713420</v>
      </c>
      <c r="M3202" t="s">
        <v>2268</v>
      </c>
    </row>
    <row r="3203" spans="12:13" x14ac:dyDescent="0.25">
      <c r="L3203" s="65">
        <v>713421</v>
      </c>
      <c r="M3203" t="s">
        <v>2269</v>
      </c>
    </row>
    <row r="3204" spans="12:13" x14ac:dyDescent="0.25">
      <c r="L3204" s="65">
        <v>713422</v>
      </c>
      <c r="M3204" t="s">
        <v>2270</v>
      </c>
    </row>
    <row r="3205" spans="12:13" x14ac:dyDescent="0.25">
      <c r="L3205" s="65">
        <v>713423</v>
      </c>
      <c r="M3205" t="s">
        <v>2271</v>
      </c>
    </row>
    <row r="3206" spans="12:13" x14ac:dyDescent="0.25">
      <c r="L3206" s="65">
        <v>713424</v>
      </c>
      <c r="M3206" t="s">
        <v>2272</v>
      </c>
    </row>
    <row r="3207" spans="12:13" x14ac:dyDescent="0.25">
      <c r="L3207" s="65">
        <v>713500</v>
      </c>
      <c r="M3207" t="s">
        <v>2273</v>
      </c>
    </row>
    <row r="3208" spans="12:13" x14ac:dyDescent="0.25">
      <c r="L3208" s="65">
        <v>713510</v>
      </c>
      <c r="M3208" t="s">
        <v>2273</v>
      </c>
    </row>
    <row r="3209" spans="12:13" x14ac:dyDescent="0.25">
      <c r="L3209" s="65">
        <v>713511</v>
      </c>
      <c r="M3209" t="s">
        <v>2273</v>
      </c>
    </row>
    <row r="3210" spans="12:13" x14ac:dyDescent="0.25">
      <c r="L3210" s="65">
        <v>713600</v>
      </c>
      <c r="M3210" t="s">
        <v>2274</v>
      </c>
    </row>
    <row r="3211" spans="12:13" x14ac:dyDescent="0.25">
      <c r="L3211" s="65">
        <v>713610</v>
      </c>
      <c r="M3211" t="s">
        <v>2275</v>
      </c>
    </row>
    <row r="3212" spans="12:13" x14ac:dyDescent="0.25">
      <c r="L3212" s="65">
        <v>713611</v>
      </c>
      <c r="M3212" t="s">
        <v>2275</v>
      </c>
    </row>
    <row r="3213" spans="12:13" x14ac:dyDescent="0.25">
      <c r="L3213" s="65">
        <v>714000</v>
      </c>
      <c r="M3213" t="s">
        <v>2276</v>
      </c>
    </row>
    <row r="3214" spans="12:13" x14ac:dyDescent="0.25">
      <c r="L3214" s="65">
        <v>714100</v>
      </c>
      <c r="M3214" t="s">
        <v>2277</v>
      </c>
    </row>
    <row r="3215" spans="12:13" x14ac:dyDescent="0.25">
      <c r="L3215" s="65">
        <v>714110</v>
      </c>
      <c r="M3215" t="s">
        <v>2278</v>
      </c>
    </row>
    <row r="3216" spans="12:13" x14ac:dyDescent="0.25">
      <c r="L3216" s="65">
        <v>714111</v>
      </c>
      <c r="M3216" t="s">
        <v>2279</v>
      </c>
    </row>
    <row r="3217" spans="12:13" x14ac:dyDescent="0.25">
      <c r="L3217" s="65">
        <v>714112</v>
      </c>
      <c r="M3217" t="s">
        <v>788</v>
      </c>
    </row>
    <row r="3218" spans="12:13" x14ac:dyDescent="0.25">
      <c r="L3218" s="65">
        <v>714113</v>
      </c>
      <c r="M3218" t="s">
        <v>2280</v>
      </c>
    </row>
    <row r="3219" spans="12:13" x14ac:dyDescent="0.25">
      <c r="L3219" s="65">
        <v>714114</v>
      </c>
      <c r="M3219" t="s">
        <v>2281</v>
      </c>
    </row>
    <row r="3220" spans="12:13" x14ac:dyDescent="0.25">
      <c r="L3220" s="65">
        <v>714120</v>
      </c>
      <c r="M3220" t="s">
        <v>2282</v>
      </c>
    </row>
    <row r="3221" spans="12:13" x14ac:dyDescent="0.25">
      <c r="L3221" s="65">
        <v>714121</v>
      </c>
      <c r="M3221" t="s">
        <v>2283</v>
      </c>
    </row>
    <row r="3222" spans="12:13" x14ac:dyDescent="0.25">
      <c r="L3222" s="65">
        <v>714122</v>
      </c>
      <c r="M3222" t="s">
        <v>2284</v>
      </c>
    </row>
    <row r="3223" spans="12:13" x14ac:dyDescent="0.25">
      <c r="L3223" s="65">
        <v>714123</v>
      </c>
      <c r="M3223" t="s">
        <v>2285</v>
      </c>
    </row>
    <row r="3224" spans="12:13" x14ac:dyDescent="0.25">
      <c r="L3224" s="65">
        <v>714124</v>
      </c>
      <c r="M3224" t="s">
        <v>2286</v>
      </c>
    </row>
    <row r="3225" spans="12:13" x14ac:dyDescent="0.25">
      <c r="L3225" s="65">
        <v>714125</v>
      </c>
      <c r="M3225" t="s">
        <v>2287</v>
      </c>
    </row>
    <row r="3226" spans="12:13" x14ac:dyDescent="0.25">
      <c r="L3226" s="65">
        <v>714126</v>
      </c>
      <c r="M3226" t="s">
        <v>2288</v>
      </c>
    </row>
    <row r="3227" spans="12:13" x14ac:dyDescent="0.25">
      <c r="L3227" s="65">
        <v>714127</v>
      </c>
      <c r="M3227" t="s">
        <v>2289</v>
      </c>
    </row>
    <row r="3228" spans="12:13" x14ac:dyDescent="0.25">
      <c r="L3228" s="65">
        <v>714128</v>
      </c>
      <c r="M3228" t="s">
        <v>2290</v>
      </c>
    </row>
    <row r="3229" spans="12:13" x14ac:dyDescent="0.25">
      <c r="L3229" s="65">
        <v>714129</v>
      </c>
      <c r="M3229" t="s">
        <v>2291</v>
      </c>
    </row>
    <row r="3230" spans="12:13" x14ac:dyDescent="0.25">
      <c r="L3230" s="65">
        <v>714130</v>
      </c>
      <c r="M3230" t="s">
        <v>2292</v>
      </c>
    </row>
    <row r="3231" spans="12:13" x14ac:dyDescent="0.25">
      <c r="L3231" s="65">
        <v>714131</v>
      </c>
      <c r="M3231" t="s">
        <v>2293</v>
      </c>
    </row>
    <row r="3232" spans="12:13" x14ac:dyDescent="0.25">
      <c r="L3232" s="65">
        <v>714132</v>
      </c>
      <c r="M3232" t="s">
        <v>2294</v>
      </c>
    </row>
    <row r="3233" spans="12:13" x14ac:dyDescent="0.25">
      <c r="L3233" s="65">
        <v>714133</v>
      </c>
      <c r="M3233" t="s">
        <v>2295</v>
      </c>
    </row>
    <row r="3234" spans="12:13" x14ac:dyDescent="0.25">
      <c r="L3234" s="65">
        <v>714134</v>
      </c>
      <c r="M3234" t="s">
        <v>2296</v>
      </c>
    </row>
    <row r="3235" spans="12:13" x14ac:dyDescent="0.25">
      <c r="L3235" s="65">
        <v>714135</v>
      </c>
      <c r="M3235" t="s">
        <v>2297</v>
      </c>
    </row>
    <row r="3236" spans="12:13" x14ac:dyDescent="0.25">
      <c r="L3236" s="65">
        <v>714136</v>
      </c>
      <c r="M3236" t="s">
        <v>2298</v>
      </c>
    </row>
    <row r="3237" spans="12:13" x14ac:dyDescent="0.25">
      <c r="L3237" s="65">
        <v>714137</v>
      </c>
      <c r="M3237" t="s">
        <v>2299</v>
      </c>
    </row>
    <row r="3238" spans="12:13" x14ac:dyDescent="0.25">
      <c r="L3238" s="65">
        <v>714138</v>
      </c>
      <c r="M3238" t="s">
        <v>2300</v>
      </c>
    </row>
    <row r="3239" spans="12:13" x14ac:dyDescent="0.25">
      <c r="L3239" s="65">
        <v>714139</v>
      </c>
      <c r="M3239" t="s">
        <v>2301</v>
      </c>
    </row>
    <row r="3240" spans="12:13" x14ac:dyDescent="0.25">
      <c r="L3240" s="65">
        <v>714140</v>
      </c>
      <c r="M3240" t="s">
        <v>2302</v>
      </c>
    </row>
    <row r="3241" spans="12:13" x14ac:dyDescent="0.25">
      <c r="L3241" s="65">
        <v>714141</v>
      </c>
      <c r="M3241" t="s">
        <v>2302</v>
      </c>
    </row>
    <row r="3242" spans="12:13" x14ac:dyDescent="0.25">
      <c r="L3242" s="65">
        <v>714300</v>
      </c>
      <c r="M3242" t="s">
        <v>2303</v>
      </c>
    </row>
    <row r="3243" spans="12:13" x14ac:dyDescent="0.25">
      <c r="L3243" s="65">
        <v>714310</v>
      </c>
      <c r="M3243" t="s">
        <v>2303</v>
      </c>
    </row>
    <row r="3244" spans="12:13" x14ac:dyDescent="0.25">
      <c r="L3244" s="65">
        <v>714311</v>
      </c>
      <c r="M3244" t="s">
        <v>2303</v>
      </c>
    </row>
    <row r="3245" spans="12:13" x14ac:dyDescent="0.25">
      <c r="L3245" s="65">
        <v>714400</v>
      </c>
      <c r="M3245" t="s">
        <v>2304</v>
      </c>
    </row>
    <row r="3246" spans="12:13" x14ac:dyDescent="0.25">
      <c r="L3246" s="65">
        <v>714420</v>
      </c>
      <c r="M3246" t="s">
        <v>2305</v>
      </c>
    </row>
    <row r="3247" spans="12:13" x14ac:dyDescent="0.25">
      <c r="L3247" s="65">
        <v>714421</v>
      </c>
      <c r="M3247" t="s">
        <v>2306</v>
      </c>
    </row>
    <row r="3248" spans="12:13" x14ac:dyDescent="0.25">
      <c r="L3248" s="65">
        <v>714430</v>
      </c>
      <c r="M3248" t="s">
        <v>2307</v>
      </c>
    </row>
    <row r="3249" spans="12:13" x14ac:dyDescent="0.25">
      <c r="L3249" s="65">
        <v>714431</v>
      </c>
      <c r="M3249" t="s">
        <v>2307</v>
      </c>
    </row>
    <row r="3250" spans="12:13" x14ac:dyDescent="0.25">
      <c r="L3250" s="65">
        <v>714440</v>
      </c>
      <c r="M3250" t="s">
        <v>2308</v>
      </c>
    </row>
    <row r="3251" spans="12:13" x14ac:dyDescent="0.25">
      <c r="L3251" s="65">
        <v>714442</v>
      </c>
      <c r="M3251" t="s">
        <v>2309</v>
      </c>
    </row>
    <row r="3252" spans="12:13" x14ac:dyDescent="0.25">
      <c r="L3252" s="65">
        <v>714443</v>
      </c>
      <c r="M3252" t="s">
        <v>2310</v>
      </c>
    </row>
    <row r="3253" spans="12:13" x14ac:dyDescent="0.25">
      <c r="L3253" s="65">
        <v>714444</v>
      </c>
      <c r="M3253" t="s">
        <v>2311</v>
      </c>
    </row>
    <row r="3254" spans="12:13" x14ac:dyDescent="0.25">
      <c r="L3254" s="65">
        <v>714445</v>
      </c>
      <c r="M3254" t="s">
        <v>2312</v>
      </c>
    </row>
    <row r="3255" spans="12:13" x14ac:dyDescent="0.25">
      <c r="L3255" s="65">
        <v>714446</v>
      </c>
      <c r="M3255" t="s">
        <v>2313</v>
      </c>
    </row>
    <row r="3256" spans="12:13" x14ac:dyDescent="0.25">
      <c r="L3256" s="65">
        <v>714447</v>
      </c>
      <c r="M3256" t="s">
        <v>2314</v>
      </c>
    </row>
    <row r="3257" spans="12:13" x14ac:dyDescent="0.25">
      <c r="L3257" s="65">
        <v>714500</v>
      </c>
      <c r="M3257" t="s">
        <v>2315</v>
      </c>
    </row>
    <row r="3258" spans="12:13" x14ac:dyDescent="0.25">
      <c r="L3258" s="65">
        <v>714510</v>
      </c>
      <c r="M3258" t="s">
        <v>2316</v>
      </c>
    </row>
    <row r="3259" spans="12:13" x14ac:dyDescent="0.25">
      <c r="L3259" s="65">
        <v>714511</v>
      </c>
      <c r="M3259" t="s">
        <v>2317</v>
      </c>
    </row>
    <row r="3260" spans="12:13" x14ac:dyDescent="0.25">
      <c r="L3260" s="65">
        <v>714512</v>
      </c>
      <c r="M3260" t="s">
        <v>2318</v>
      </c>
    </row>
    <row r="3261" spans="12:13" x14ac:dyDescent="0.25">
      <c r="L3261" s="65">
        <v>714513</v>
      </c>
      <c r="M3261" t="s">
        <v>2319</v>
      </c>
    </row>
    <row r="3262" spans="12:13" x14ac:dyDescent="0.25">
      <c r="L3262" s="65">
        <v>714514</v>
      </c>
      <c r="M3262" t="s">
        <v>2320</v>
      </c>
    </row>
    <row r="3263" spans="12:13" x14ac:dyDescent="0.25">
      <c r="L3263" s="65">
        <v>714516</v>
      </c>
      <c r="M3263" t="s">
        <v>2321</v>
      </c>
    </row>
    <row r="3264" spans="12:13" x14ac:dyDescent="0.25">
      <c r="L3264" s="65">
        <v>714517</v>
      </c>
      <c r="M3264" t="s">
        <v>2322</v>
      </c>
    </row>
    <row r="3265" spans="12:13" x14ac:dyDescent="0.25">
      <c r="L3265" s="65">
        <v>714520</v>
      </c>
      <c r="M3265" t="s">
        <v>2323</v>
      </c>
    </row>
    <row r="3266" spans="12:13" x14ac:dyDescent="0.25">
      <c r="L3266" s="65">
        <v>714521</v>
      </c>
      <c r="M3266" t="s">
        <v>2324</v>
      </c>
    </row>
    <row r="3267" spans="12:13" x14ac:dyDescent="0.25">
      <c r="L3267" s="65">
        <v>714522</v>
      </c>
      <c r="M3267" t="s">
        <v>2325</v>
      </c>
    </row>
    <row r="3268" spans="12:13" x14ac:dyDescent="0.25">
      <c r="L3268" s="65">
        <v>714523</v>
      </c>
      <c r="M3268" t="s">
        <v>2326</v>
      </c>
    </row>
    <row r="3269" spans="12:13" x14ac:dyDescent="0.25">
      <c r="L3269" s="65">
        <v>714524</v>
      </c>
      <c r="M3269" t="s">
        <v>2327</v>
      </c>
    </row>
    <row r="3270" spans="12:13" x14ac:dyDescent="0.25">
      <c r="L3270" s="65">
        <v>714525</v>
      </c>
      <c r="M3270" t="s">
        <v>2328</v>
      </c>
    </row>
    <row r="3271" spans="12:13" x14ac:dyDescent="0.25">
      <c r="L3271" s="65">
        <v>714530</v>
      </c>
      <c r="M3271" t="s">
        <v>2329</v>
      </c>
    </row>
    <row r="3272" spans="12:13" x14ac:dyDescent="0.25">
      <c r="L3272" s="65">
        <v>714531</v>
      </c>
      <c r="M3272" t="s">
        <v>2330</v>
      </c>
    </row>
    <row r="3273" spans="12:13" x14ac:dyDescent="0.25">
      <c r="L3273" s="65">
        <v>714532</v>
      </c>
      <c r="M3273" t="s">
        <v>2331</v>
      </c>
    </row>
    <row r="3274" spans="12:13" x14ac:dyDescent="0.25">
      <c r="L3274" s="65">
        <v>714533</v>
      </c>
      <c r="M3274" t="s">
        <v>2332</v>
      </c>
    </row>
    <row r="3275" spans="12:13" x14ac:dyDescent="0.25">
      <c r="L3275" s="65">
        <v>714536</v>
      </c>
      <c r="M3275" t="s">
        <v>2333</v>
      </c>
    </row>
    <row r="3276" spans="12:13" x14ac:dyDescent="0.25">
      <c r="L3276" s="65">
        <v>714540</v>
      </c>
      <c r="M3276" t="s">
        <v>2334</v>
      </c>
    </row>
    <row r="3277" spans="12:13" x14ac:dyDescent="0.25">
      <c r="L3277" s="65">
        <v>714541</v>
      </c>
      <c r="M3277" t="s">
        <v>2335</v>
      </c>
    </row>
    <row r="3278" spans="12:13" x14ac:dyDescent="0.25">
      <c r="L3278" s="65">
        <v>714542</v>
      </c>
      <c r="M3278" t="s">
        <v>2336</v>
      </c>
    </row>
    <row r="3279" spans="12:13" x14ac:dyDescent="0.25">
      <c r="L3279" s="65">
        <v>714543</v>
      </c>
      <c r="M3279" t="s">
        <v>2337</v>
      </c>
    </row>
    <row r="3280" spans="12:13" x14ac:dyDescent="0.25">
      <c r="L3280" s="65">
        <v>714544</v>
      </c>
      <c r="M3280" t="s">
        <v>2338</v>
      </c>
    </row>
    <row r="3281" spans="12:13" x14ac:dyDescent="0.25">
      <c r="L3281" s="65">
        <v>714545</v>
      </c>
      <c r="M3281" t="s">
        <v>2339</v>
      </c>
    </row>
    <row r="3282" spans="12:13" x14ac:dyDescent="0.25">
      <c r="L3282" s="65">
        <v>714546</v>
      </c>
      <c r="M3282" t="s">
        <v>2340</v>
      </c>
    </row>
    <row r="3283" spans="12:13" x14ac:dyDescent="0.25">
      <c r="L3283" s="65">
        <v>714547</v>
      </c>
      <c r="M3283" t="s">
        <v>2341</v>
      </c>
    </row>
    <row r="3284" spans="12:13" x14ac:dyDescent="0.25">
      <c r="L3284" s="65">
        <v>714548</v>
      </c>
      <c r="M3284" t="s">
        <v>2342</v>
      </c>
    </row>
    <row r="3285" spans="12:13" x14ac:dyDescent="0.25">
      <c r="L3285" s="65">
        <v>714549</v>
      </c>
      <c r="M3285" t="s">
        <v>2343</v>
      </c>
    </row>
    <row r="3286" spans="12:13" x14ac:dyDescent="0.25">
      <c r="L3286" s="65">
        <v>714550</v>
      </c>
      <c r="M3286" t="s">
        <v>2344</v>
      </c>
    </row>
    <row r="3287" spans="12:13" x14ac:dyDescent="0.25">
      <c r="L3287" s="65">
        <v>714551</v>
      </c>
      <c r="M3287" t="s">
        <v>2345</v>
      </c>
    </row>
    <row r="3288" spans="12:13" x14ac:dyDescent="0.25">
      <c r="L3288" s="65">
        <v>714552</v>
      </c>
      <c r="M3288" t="s">
        <v>2346</v>
      </c>
    </row>
    <row r="3289" spans="12:13" x14ac:dyDescent="0.25">
      <c r="L3289" s="65">
        <v>714560</v>
      </c>
      <c r="M3289" t="s">
        <v>2347</v>
      </c>
    </row>
    <row r="3290" spans="12:13" x14ac:dyDescent="0.25">
      <c r="L3290" s="65">
        <v>714562</v>
      </c>
      <c r="M3290" t="s">
        <v>2348</v>
      </c>
    </row>
    <row r="3291" spans="12:13" x14ac:dyDescent="0.25">
      <c r="L3291" s="65">
        <v>714563</v>
      </c>
      <c r="M3291" t="s">
        <v>2349</v>
      </c>
    </row>
    <row r="3292" spans="12:13" x14ac:dyDescent="0.25">
      <c r="L3292" s="65">
        <v>714564</v>
      </c>
      <c r="M3292" t="s">
        <v>2350</v>
      </c>
    </row>
    <row r="3293" spans="12:13" x14ac:dyDescent="0.25">
      <c r="L3293" s="65">
        <v>714570</v>
      </c>
      <c r="M3293" t="s">
        <v>2351</v>
      </c>
    </row>
    <row r="3294" spans="12:13" x14ac:dyDescent="0.25">
      <c r="L3294" s="65">
        <v>714571</v>
      </c>
      <c r="M3294" t="s">
        <v>2352</v>
      </c>
    </row>
    <row r="3295" spans="12:13" x14ac:dyDescent="0.25">
      <c r="L3295" s="65">
        <v>714572</v>
      </c>
      <c r="M3295" t="s">
        <v>2353</v>
      </c>
    </row>
    <row r="3296" spans="12:13" x14ac:dyDescent="0.25">
      <c r="L3296" s="65">
        <v>714573</v>
      </c>
      <c r="M3296" t="s">
        <v>2354</v>
      </c>
    </row>
    <row r="3297" spans="12:13" x14ac:dyDescent="0.25">
      <c r="L3297" s="65">
        <v>714574</v>
      </c>
      <c r="M3297" t="s">
        <v>2355</v>
      </c>
    </row>
    <row r="3298" spans="12:13" x14ac:dyDescent="0.25">
      <c r="L3298" s="65">
        <v>714575</v>
      </c>
      <c r="M3298" t="s">
        <v>2356</v>
      </c>
    </row>
    <row r="3299" spans="12:13" x14ac:dyDescent="0.25">
      <c r="L3299" s="65">
        <v>714576</v>
      </c>
      <c r="M3299" t="s">
        <v>2357</v>
      </c>
    </row>
    <row r="3300" spans="12:13" x14ac:dyDescent="0.25">
      <c r="L3300" s="65">
        <v>714580</v>
      </c>
      <c r="M3300" t="s">
        <v>2358</v>
      </c>
    </row>
    <row r="3301" spans="12:13" x14ac:dyDescent="0.25">
      <c r="L3301" s="65">
        <v>714581</v>
      </c>
      <c r="M3301" t="s">
        <v>2359</v>
      </c>
    </row>
    <row r="3302" spans="12:13" x14ac:dyDescent="0.25">
      <c r="L3302" s="65">
        <v>714582</v>
      </c>
      <c r="M3302" t="s">
        <v>2360</v>
      </c>
    </row>
    <row r="3303" spans="12:13" x14ac:dyDescent="0.25">
      <c r="L3303" s="65">
        <v>714583</v>
      </c>
      <c r="M3303" t="s">
        <v>2361</v>
      </c>
    </row>
    <row r="3304" spans="12:13" x14ac:dyDescent="0.25">
      <c r="L3304" s="65">
        <v>714584</v>
      </c>
      <c r="M3304" t="s">
        <v>2362</v>
      </c>
    </row>
    <row r="3305" spans="12:13" x14ac:dyDescent="0.25">
      <c r="L3305" s="65">
        <v>714585</v>
      </c>
      <c r="M3305" t="s">
        <v>2363</v>
      </c>
    </row>
    <row r="3306" spans="12:13" x14ac:dyDescent="0.25">
      <c r="L3306" s="65">
        <v>714586</v>
      </c>
      <c r="M3306" t="s">
        <v>2364</v>
      </c>
    </row>
    <row r="3307" spans="12:13" x14ac:dyDescent="0.25">
      <c r="L3307" s="65">
        <v>714587</v>
      </c>
      <c r="M3307" t="s">
        <v>2365</v>
      </c>
    </row>
    <row r="3308" spans="12:13" x14ac:dyDescent="0.25">
      <c r="L3308" s="65">
        <v>714590</v>
      </c>
      <c r="M3308" t="s">
        <v>2366</v>
      </c>
    </row>
    <row r="3309" spans="12:13" x14ac:dyDescent="0.25">
      <c r="L3309" s="65">
        <v>714591</v>
      </c>
      <c r="M3309" t="s">
        <v>2367</v>
      </c>
    </row>
    <row r="3310" spans="12:13" x14ac:dyDescent="0.25">
      <c r="L3310" s="65">
        <v>714592</v>
      </c>
      <c r="M3310" t="s">
        <v>2368</v>
      </c>
    </row>
    <row r="3311" spans="12:13" x14ac:dyDescent="0.25">
      <c r="L3311" s="65">
        <v>714593</v>
      </c>
      <c r="M3311" t="s">
        <v>2369</v>
      </c>
    </row>
    <row r="3312" spans="12:13" x14ac:dyDescent="0.25">
      <c r="L3312" s="65">
        <v>714594</v>
      </c>
      <c r="M3312" t="s">
        <v>2370</v>
      </c>
    </row>
    <row r="3313" spans="12:13" x14ac:dyDescent="0.25">
      <c r="L3313" s="65">
        <v>714595</v>
      </c>
      <c r="M3313" t="s">
        <v>2371</v>
      </c>
    </row>
    <row r="3314" spans="12:13" x14ac:dyDescent="0.25">
      <c r="L3314" s="65">
        <v>714596</v>
      </c>
      <c r="M3314" t="s">
        <v>2372</v>
      </c>
    </row>
    <row r="3315" spans="12:13" x14ac:dyDescent="0.25">
      <c r="L3315" s="65">
        <v>714597</v>
      </c>
      <c r="M3315" t="s">
        <v>2373</v>
      </c>
    </row>
    <row r="3316" spans="12:13" x14ac:dyDescent="0.25">
      <c r="L3316" s="65">
        <v>714598</v>
      </c>
      <c r="M3316" t="s">
        <v>2374</v>
      </c>
    </row>
    <row r="3317" spans="12:13" x14ac:dyDescent="0.25">
      <c r="L3317" s="65">
        <v>714599</v>
      </c>
      <c r="M3317" t="s">
        <v>2375</v>
      </c>
    </row>
    <row r="3318" spans="12:13" x14ac:dyDescent="0.25">
      <c r="L3318" s="65">
        <v>714600</v>
      </c>
      <c r="M3318" t="s">
        <v>2376</v>
      </c>
    </row>
    <row r="3319" spans="12:13" x14ac:dyDescent="0.25">
      <c r="L3319" s="65">
        <v>714610</v>
      </c>
      <c r="M3319" t="s">
        <v>2376</v>
      </c>
    </row>
    <row r="3320" spans="12:13" x14ac:dyDescent="0.25">
      <c r="L3320" s="65">
        <v>714611</v>
      </c>
      <c r="M3320" t="s">
        <v>2376</v>
      </c>
    </row>
    <row r="3321" spans="12:13" x14ac:dyDescent="0.25">
      <c r="L3321" s="65">
        <v>715000</v>
      </c>
      <c r="M3321" t="s">
        <v>2377</v>
      </c>
    </row>
    <row r="3322" spans="12:13" x14ac:dyDescent="0.25">
      <c r="L3322" s="65">
        <v>715100</v>
      </c>
      <c r="M3322" t="s">
        <v>2378</v>
      </c>
    </row>
    <row r="3323" spans="12:13" x14ac:dyDescent="0.25">
      <c r="L3323" s="65">
        <v>715110</v>
      </c>
      <c r="M3323" t="s">
        <v>2379</v>
      </c>
    </row>
    <row r="3324" spans="12:13" x14ac:dyDescent="0.25">
      <c r="L3324" s="65">
        <v>715111</v>
      </c>
      <c r="M3324" t="s">
        <v>2379</v>
      </c>
    </row>
    <row r="3325" spans="12:13" x14ac:dyDescent="0.25">
      <c r="L3325" s="65">
        <v>715120</v>
      </c>
      <c r="M3325" t="s">
        <v>2380</v>
      </c>
    </row>
    <row r="3326" spans="12:13" x14ac:dyDescent="0.25">
      <c r="L3326" s="65">
        <v>715121</v>
      </c>
      <c r="M3326" t="s">
        <v>2380</v>
      </c>
    </row>
    <row r="3327" spans="12:13" x14ac:dyDescent="0.25">
      <c r="L3327" s="65">
        <v>715190</v>
      </c>
      <c r="M3327" t="s">
        <v>2381</v>
      </c>
    </row>
    <row r="3328" spans="12:13" x14ac:dyDescent="0.25">
      <c r="L3328" s="65">
        <v>715191</v>
      </c>
      <c r="M3328" t="s">
        <v>2382</v>
      </c>
    </row>
    <row r="3329" spans="12:13" x14ac:dyDescent="0.25">
      <c r="L3329" s="65">
        <v>715192</v>
      </c>
      <c r="M3329" t="s">
        <v>2383</v>
      </c>
    </row>
    <row r="3330" spans="12:13" x14ac:dyDescent="0.25">
      <c r="L3330" s="65">
        <v>715193</v>
      </c>
      <c r="M3330" t="s">
        <v>2384</v>
      </c>
    </row>
    <row r="3331" spans="12:13" x14ac:dyDescent="0.25">
      <c r="L3331" s="65">
        <v>715200</v>
      </c>
      <c r="M3331" t="s">
        <v>2385</v>
      </c>
    </row>
    <row r="3332" spans="12:13" x14ac:dyDescent="0.25">
      <c r="L3332" s="65">
        <v>715210</v>
      </c>
      <c r="M3332" t="s">
        <v>2385</v>
      </c>
    </row>
    <row r="3333" spans="12:13" x14ac:dyDescent="0.25">
      <c r="L3333" s="65">
        <v>715211</v>
      </c>
      <c r="M3333" t="s">
        <v>2385</v>
      </c>
    </row>
    <row r="3334" spans="12:13" x14ac:dyDescent="0.25">
      <c r="L3334" s="65">
        <v>715300</v>
      </c>
      <c r="M3334" t="s">
        <v>2386</v>
      </c>
    </row>
    <row r="3335" spans="12:13" x14ac:dyDescent="0.25">
      <c r="L3335" s="65">
        <v>715310</v>
      </c>
      <c r="M3335" t="s">
        <v>2386</v>
      </c>
    </row>
    <row r="3336" spans="12:13" x14ac:dyDescent="0.25">
      <c r="L3336" s="65">
        <v>715311</v>
      </c>
      <c r="M3336" t="s">
        <v>2386</v>
      </c>
    </row>
    <row r="3337" spans="12:13" x14ac:dyDescent="0.25">
      <c r="L3337" s="65">
        <v>715400</v>
      </c>
      <c r="M3337" t="s">
        <v>2387</v>
      </c>
    </row>
    <row r="3338" spans="12:13" x14ac:dyDescent="0.25">
      <c r="L3338" s="65">
        <v>715410</v>
      </c>
      <c r="M3338" t="s">
        <v>2387</v>
      </c>
    </row>
    <row r="3339" spans="12:13" x14ac:dyDescent="0.25">
      <c r="L3339" s="65">
        <v>715411</v>
      </c>
      <c r="M3339" t="s">
        <v>2387</v>
      </c>
    </row>
    <row r="3340" spans="12:13" x14ac:dyDescent="0.25">
      <c r="L3340" s="65">
        <v>715500</v>
      </c>
      <c r="M3340" t="s">
        <v>2388</v>
      </c>
    </row>
    <row r="3341" spans="12:13" x14ac:dyDescent="0.25">
      <c r="L3341" s="65">
        <v>715510</v>
      </c>
      <c r="M3341" t="s">
        <v>2388</v>
      </c>
    </row>
    <row r="3342" spans="12:13" x14ac:dyDescent="0.25">
      <c r="L3342" s="65">
        <v>715511</v>
      </c>
      <c r="M3342" t="s">
        <v>2388</v>
      </c>
    </row>
    <row r="3343" spans="12:13" x14ac:dyDescent="0.25">
      <c r="L3343" s="65">
        <v>715600</v>
      </c>
      <c r="M3343" t="s">
        <v>2389</v>
      </c>
    </row>
    <row r="3344" spans="12:13" x14ac:dyDescent="0.25">
      <c r="L3344" s="65">
        <v>715610</v>
      </c>
      <c r="M3344" t="s">
        <v>2389</v>
      </c>
    </row>
    <row r="3345" spans="12:13" x14ac:dyDescent="0.25">
      <c r="L3345" s="65">
        <v>715611</v>
      </c>
      <c r="M3345" t="s">
        <v>2389</v>
      </c>
    </row>
    <row r="3346" spans="12:13" x14ac:dyDescent="0.25">
      <c r="L3346" s="65">
        <v>716000</v>
      </c>
      <c r="M3346" t="s">
        <v>2391</v>
      </c>
    </row>
    <row r="3347" spans="12:13" x14ac:dyDescent="0.25">
      <c r="L3347" s="65">
        <v>716100</v>
      </c>
      <c r="M3347" t="s">
        <v>2392</v>
      </c>
    </row>
    <row r="3348" spans="12:13" x14ac:dyDescent="0.25">
      <c r="L3348" s="65">
        <v>716110</v>
      </c>
      <c r="M3348" t="s">
        <v>2393</v>
      </c>
    </row>
    <row r="3349" spans="12:13" x14ac:dyDescent="0.25">
      <c r="L3349" s="65">
        <v>716111</v>
      </c>
      <c r="M3349" t="s">
        <v>2395</v>
      </c>
    </row>
    <row r="3350" spans="12:13" x14ac:dyDescent="0.25">
      <c r="L3350" s="65">
        <v>716112</v>
      </c>
      <c r="M3350" t="s">
        <v>2396</v>
      </c>
    </row>
    <row r="3351" spans="12:13" x14ac:dyDescent="0.25">
      <c r="L3351" s="65">
        <v>716200</v>
      </c>
      <c r="M3351" t="s">
        <v>2397</v>
      </c>
    </row>
    <row r="3352" spans="12:13" x14ac:dyDescent="0.25">
      <c r="L3352" s="65">
        <v>716210</v>
      </c>
      <c r="M3352" t="s">
        <v>2398</v>
      </c>
    </row>
    <row r="3353" spans="12:13" x14ac:dyDescent="0.25">
      <c r="L3353" s="65">
        <v>716211</v>
      </c>
      <c r="M3353" t="s">
        <v>2398</v>
      </c>
    </row>
    <row r="3354" spans="12:13" x14ac:dyDescent="0.25">
      <c r="L3354" s="65">
        <v>716220</v>
      </c>
      <c r="M3354" t="s">
        <v>2399</v>
      </c>
    </row>
    <row r="3355" spans="12:13" x14ac:dyDescent="0.25">
      <c r="L3355" s="65">
        <v>716221</v>
      </c>
      <c r="M3355" t="s">
        <v>2400</v>
      </c>
    </row>
    <row r="3356" spans="12:13" x14ac:dyDescent="0.25">
      <c r="L3356" s="65">
        <v>716222</v>
      </c>
      <c r="M3356" t="s">
        <v>2401</v>
      </c>
    </row>
    <row r="3357" spans="12:13" x14ac:dyDescent="0.25">
      <c r="L3357" s="65">
        <v>716223</v>
      </c>
      <c r="M3357" t="s">
        <v>2402</v>
      </c>
    </row>
    <row r="3358" spans="12:13" x14ac:dyDescent="0.25">
      <c r="L3358" s="65">
        <v>716224</v>
      </c>
      <c r="M3358" t="s">
        <v>2403</v>
      </c>
    </row>
    <row r="3359" spans="12:13" x14ac:dyDescent="0.25">
      <c r="L3359" s="65">
        <v>716225</v>
      </c>
      <c r="M3359" t="s">
        <v>2404</v>
      </c>
    </row>
    <row r="3360" spans="12:13" x14ac:dyDescent="0.25">
      <c r="L3360" s="65">
        <v>716226</v>
      </c>
      <c r="M3360" t="s">
        <v>2405</v>
      </c>
    </row>
    <row r="3361" spans="12:13" x14ac:dyDescent="0.25">
      <c r="L3361" s="65">
        <v>716227</v>
      </c>
      <c r="M3361" t="s">
        <v>2406</v>
      </c>
    </row>
    <row r="3362" spans="12:13" x14ac:dyDescent="0.25">
      <c r="L3362" s="65">
        <v>716228</v>
      </c>
      <c r="M3362" t="s">
        <v>2407</v>
      </c>
    </row>
    <row r="3363" spans="12:13" x14ac:dyDescent="0.25">
      <c r="L3363" s="65">
        <v>716229</v>
      </c>
      <c r="M3363" t="s">
        <v>2408</v>
      </c>
    </row>
    <row r="3364" spans="12:13" x14ac:dyDescent="0.25">
      <c r="L3364" s="65">
        <v>717000</v>
      </c>
      <c r="M3364" t="s">
        <v>2409</v>
      </c>
    </row>
    <row r="3365" spans="12:13" x14ac:dyDescent="0.25">
      <c r="L3365" s="65">
        <v>717100</v>
      </c>
      <c r="M3365" t="s">
        <v>2410</v>
      </c>
    </row>
    <row r="3366" spans="12:13" x14ac:dyDescent="0.25">
      <c r="L3366" s="65">
        <v>717110</v>
      </c>
      <c r="M3366" t="s">
        <v>2411</v>
      </c>
    </row>
    <row r="3367" spans="12:13" x14ac:dyDescent="0.25">
      <c r="L3367" s="65">
        <v>717111</v>
      </c>
      <c r="M3367" t="s">
        <v>2412</v>
      </c>
    </row>
    <row r="3368" spans="12:13" x14ac:dyDescent="0.25">
      <c r="L3368" s="65">
        <v>717112</v>
      </c>
      <c r="M3368" t="s">
        <v>2413</v>
      </c>
    </row>
    <row r="3369" spans="12:13" x14ac:dyDescent="0.25">
      <c r="L3369" s="65">
        <v>717113</v>
      </c>
      <c r="M3369" t="s">
        <v>2414</v>
      </c>
    </row>
    <row r="3370" spans="12:13" x14ac:dyDescent="0.25">
      <c r="L3370" s="65">
        <v>717114</v>
      </c>
      <c r="M3370" t="s">
        <v>2415</v>
      </c>
    </row>
    <row r="3371" spans="12:13" x14ac:dyDescent="0.25">
      <c r="L3371" s="65">
        <v>717115</v>
      </c>
      <c r="M3371" t="s">
        <v>2416</v>
      </c>
    </row>
    <row r="3372" spans="12:13" x14ac:dyDescent="0.25">
      <c r="L3372" s="65">
        <v>717116</v>
      </c>
      <c r="M3372" t="s">
        <v>2417</v>
      </c>
    </row>
    <row r="3373" spans="12:13" x14ac:dyDescent="0.25">
      <c r="L3373" s="65">
        <v>717117</v>
      </c>
      <c r="M3373" t="s">
        <v>2418</v>
      </c>
    </row>
    <row r="3374" spans="12:13" x14ac:dyDescent="0.25">
      <c r="L3374" s="65">
        <v>717118</v>
      </c>
      <c r="M3374" t="s">
        <v>2419</v>
      </c>
    </row>
    <row r="3375" spans="12:13" x14ac:dyDescent="0.25">
      <c r="L3375" s="65">
        <v>717119</v>
      </c>
      <c r="M3375" t="s">
        <v>2420</v>
      </c>
    </row>
    <row r="3376" spans="12:13" x14ac:dyDescent="0.25">
      <c r="L3376" s="65">
        <v>717120</v>
      </c>
      <c r="M3376" t="s">
        <v>2421</v>
      </c>
    </row>
    <row r="3377" spans="12:13" x14ac:dyDescent="0.25">
      <c r="L3377" s="65">
        <v>717121</v>
      </c>
      <c r="M3377" t="s">
        <v>2422</v>
      </c>
    </row>
    <row r="3378" spans="12:13" x14ac:dyDescent="0.25">
      <c r="L3378" s="65">
        <v>717122</v>
      </c>
      <c r="M3378" t="s">
        <v>2423</v>
      </c>
    </row>
    <row r="3379" spans="12:13" x14ac:dyDescent="0.25">
      <c r="L3379" s="65">
        <v>717123</v>
      </c>
      <c r="M3379" t="s">
        <v>2424</v>
      </c>
    </row>
    <row r="3380" spans="12:13" x14ac:dyDescent="0.25">
      <c r="L3380" s="65">
        <v>717124</v>
      </c>
      <c r="M3380" t="s">
        <v>2425</v>
      </c>
    </row>
    <row r="3381" spans="12:13" x14ac:dyDescent="0.25">
      <c r="L3381" s="65">
        <v>717125</v>
      </c>
      <c r="M3381" t="s">
        <v>2426</v>
      </c>
    </row>
    <row r="3382" spans="12:13" x14ac:dyDescent="0.25">
      <c r="L3382" s="65">
        <v>717126</v>
      </c>
      <c r="M3382" t="s">
        <v>2427</v>
      </c>
    </row>
    <row r="3383" spans="12:13" x14ac:dyDescent="0.25">
      <c r="L3383" s="65">
        <v>717127</v>
      </c>
      <c r="M3383" t="s">
        <v>2428</v>
      </c>
    </row>
    <row r="3384" spans="12:13" x14ac:dyDescent="0.25">
      <c r="L3384" s="65">
        <v>717128</v>
      </c>
      <c r="M3384" t="s">
        <v>2429</v>
      </c>
    </row>
    <row r="3385" spans="12:13" x14ac:dyDescent="0.25">
      <c r="L3385" s="65">
        <v>717129</v>
      </c>
      <c r="M3385" t="s">
        <v>2430</v>
      </c>
    </row>
    <row r="3386" spans="12:13" x14ac:dyDescent="0.25">
      <c r="L3386" s="65">
        <v>717130</v>
      </c>
      <c r="M3386" t="s">
        <v>2431</v>
      </c>
    </row>
    <row r="3387" spans="12:13" x14ac:dyDescent="0.25">
      <c r="L3387" s="65">
        <v>717131</v>
      </c>
      <c r="M3387" t="s">
        <v>2432</v>
      </c>
    </row>
    <row r="3388" spans="12:13" x14ac:dyDescent="0.25">
      <c r="L3388" s="65">
        <v>717132</v>
      </c>
      <c r="M3388" t="s">
        <v>2433</v>
      </c>
    </row>
    <row r="3389" spans="12:13" x14ac:dyDescent="0.25">
      <c r="L3389" s="65">
        <v>717133</v>
      </c>
      <c r="M3389" t="s">
        <v>2434</v>
      </c>
    </row>
    <row r="3390" spans="12:13" x14ac:dyDescent="0.25">
      <c r="L3390" s="65">
        <v>717134</v>
      </c>
      <c r="M3390" t="s">
        <v>2435</v>
      </c>
    </row>
    <row r="3391" spans="12:13" x14ac:dyDescent="0.25">
      <c r="L3391" s="65">
        <v>717140</v>
      </c>
      <c r="M3391" t="s">
        <v>2436</v>
      </c>
    </row>
    <row r="3392" spans="12:13" x14ac:dyDescent="0.25">
      <c r="L3392" s="65">
        <v>717141</v>
      </c>
      <c r="M3392" t="s">
        <v>2437</v>
      </c>
    </row>
    <row r="3393" spans="12:13" x14ac:dyDescent="0.25">
      <c r="L3393" s="65">
        <v>717142</v>
      </c>
      <c r="M3393" t="s">
        <v>2438</v>
      </c>
    </row>
    <row r="3394" spans="12:13" x14ac:dyDescent="0.25">
      <c r="L3394" s="65">
        <v>717143</v>
      </c>
      <c r="M3394" t="s">
        <v>2439</v>
      </c>
    </row>
    <row r="3395" spans="12:13" x14ac:dyDescent="0.25">
      <c r="L3395" s="65">
        <v>717144</v>
      </c>
      <c r="M3395" t="s">
        <v>2440</v>
      </c>
    </row>
    <row r="3396" spans="12:13" x14ac:dyDescent="0.25">
      <c r="L3396" s="65">
        <v>717150</v>
      </c>
      <c r="M3396" t="s">
        <v>2441</v>
      </c>
    </row>
    <row r="3397" spans="12:13" x14ac:dyDescent="0.25">
      <c r="L3397" s="65">
        <v>717151</v>
      </c>
      <c r="M3397" t="s">
        <v>2442</v>
      </c>
    </row>
    <row r="3398" spans="12:13" x14ac:dyDescent="0.25">
      <c r="L3398" s="65">
        <v>717152</v>
      </c>
      <c r="M3398" t="s">
        <v>2443</v>
      </c>
    </row>
    <row r="3399" spans="12:13" x14ac:dyDescent="0.25">
      <c r="L3399" s="65">
        <v>717200</v>
      </c>
      <c r="M3399" t="s">
        <v>2444</v>
      </c>
    </row>
    <row r="3400" spans="12:13" x14ac:dyDescent="0.25">
      <c r="L3400" s="65">
        <v>717210</v>
      </c>
      <c r="M3400" t="s">
        <v>2445</v>
      </c>
    </row>
    <row r="3401" spans="12:13" x14ac:dyDescent="0.25">
      <c r="L3401" s="65">
        <v>717211</v>
      </c>
      <c r="M3401" t="s">
        <v>2446</v>
      </c>
    </row>
    <row r="3402" spans="12:13" x14ac:dyDescent="0.25">
      <c r="L3402" s="65">
        <v>717212</v>
      </c>
      <c r="M3402" t="s">
        <v>2447</v>
      </c>
    </row>
    <row r="3403" spans="12:13" x14ac:dyDescent="0.25">
      <c r="L3403" s="65">
        <v>717213</v>
      </c>
      <c r="M3403" t="s">
        <v>2448</v>
      </c>
    </row>
    <row r="3404" spans="12:13" x14ac:dyDescent="0.25">
      <c r="L3404" s="65">
        <v>717214</v>
      </c>
      <c r="M3404" t="s">
        <v>2449</v>
      </c>
    </row>
    <row r="3405" spans="12:13" x14ac:dyDescent="0.25">
      <c r="L3405" s="65">
        <v>717215</v>
      </c>
      <c r="M3405" t="s">
        <v>2450</v>
      </c>
    </row>
    <row r="3406" spans="12:13" x14ac:dyDescent="0.25">
      <c r="L3406" s="65">
        <v>717220</v>
      </c>
      <c r="M3406" t="s">
        <v>2451</v>
      </c>
    </row>
    <row r="3407" spans="12:13" x14ac:dyDescent="0.25">
      <c r="L3407" s="65">
        <v>717221</v>
      </c>
      <c r="M3407" t="s">
        <v>2452</v>
      </c>
    </row>
    <row r="3408" spans="12:13" x14ac:dyDescent="0.25">
      <c r="L3408" s="65">
        <v>717222</v>
      </c>
      <c r="M3408" t="s">
        <v>2453</v>
      </c>
    </row>
    <row r="3409" spans="12:13" x14ac:dyDescent="0.25">
      <c r="L3409" s="65">
        <v>717223</v>
      </c>
      <c r="M3409" t="s">
        <v>2454</v>
      </c>
    </row>
    <row r="3410" spans="12:13" x14ac:dyDescent="0.25">
      <c r="L3410" s="65">
        <v>717300</v>
      </c>
      <c r="M3410" t="s">
        <v>2455</v>
      </c>
    </row>
    <row r="3411" spans="12:13" x14ac:dyDescent="0.25">
      <c r="L3411" s="65">
        <v>717310</v>
      </c>
      <c r="M3411" t="s">
        <v>2456</v>
      </c>
    </row>
    <row r="3412" spans="12:13" x14ac:dyDescent="0.25">
      <c r="L3412" s="65">
        <v>717311</v>
      </c>
      <c r="M3412" t="s">
        <v>2457</v>
      </c>
    </row>
    <row r="3413" spans="12:13" x14ac:dyDescent="0.25">
      <c r="L3413" s="65">
        <v>717312</v>
      </c>
      <c r="M3413" t="s">
        <v>2458</v>
      </c>
    </row>
    <row r="3414" spans="12:13" x14ac:dyDescent="0.25">
      <c r="L3414" s="65">
        <v>717313</v>
      </c>
      <c r="M3414" t="s">
        <v>2459</v>
      </c>
    </row>
    <row r="3415" spans="12:13" x14ac:dyDescent="0.25">
      <c r="L3415" s="65">
        <v>717314</v>
      </c>
      <c r="M3415" t="s">
        <v>2460</v>
      </c>
    </row>
    <row r="3416" spans="12:13" x14ac:dyDescent="0.25">
      <c r="L3416" s="65">
        <v>717315</v>
      </c>
      <c r="M3416" t="s">
        <v>2461</v>
      </c>
    </row>
    <row r="3417" spans="12:13" x14ac:dyDescent="0.25">
      <c r="L3417" s="65">
        <v>717316</v>
      </c>
      <c r="M3417" t="s">
        <v>2462</v>
      </c>
    </row>
    <row r="3418" spans="12:13" x14ac:dyDescent="0.25">
      <c r="L3418" s="65">
        <v>717317</v>
      </c>
      <c r="M3418" t="s">
        <v>2463</v>
      </c>
    </row>
    <row r="3419" spans="12:13" x14ac:dyDescent="0.25">
      <c r="L3419" s="65">
        <v>717320</v>
      </c>
      <c r="M3419" t="s">
        <v>2464</v>
      </c>
    </row>
    <row r="3420" spans="12:13" x14ac:dyDescent="0.25">
      <c r="L3420" s="65">
        <v>717321</v>
      </c>
      <c r="M3420" t="s">
        <v>2465</v>
      </c>
    </row>
    <row r="3421" spans="12:13" x14ac:dyDescent="0.25">
      <c r="L3421" s="65">
        <v>717322</v>
      </c>
      <c r="M3421" t="s">
        <v>2466</v>
      </c>
    </row>
    <row r="3422" spans="12:13" x14ac:dyDescent="0.25">
      <c r="L3422" s="65">
        <v>717323</v>
      </c>
      <c r="M3422" t="s">
        <v>2467</v>
      </c>
    </row>
    <row r="3423" spans="12:13" x14ac:dyDescent="0.25">
      <c r="L3423" s="65">
        <v>717324</v>
      </c>
      <c r="M3423" t="s">
        <v>2468</v>
      </c>
    </row>
    <row r="3424" spans="12:13" x14ac:dyDescent="0.25">
      <c r="L3424" s="65">
        <v>717325</v>
      </c>
      <c r="M3424" t="s">
        <v>2469</v>
      </c>
    </row>
    <row r="3425" spans="12:13" x14ac:dyDescent="0.25">
      <c r="L3425" s="65">
        <v>717326</v>
      </c>
      <c r="M3425" t="s">
        <v>2470</v>
      </c>
    </row>
    <row r="3426" spans="12:13" x14ac:dyDescent="0.25">
      <c r="L3426" s="65">
        <v>717327</v>
      </c>
      <c r="M3426" t="s">
        <v>2471</v>
      </c>
    </row>
    <row r="3427" spans="12:13" x14ac:dyDescent="0.25">
      <c r="L3427" s="65">
        <v>717400</v>
      </c>
      <c r="M3427" t="s">
        <v>2472</v>
      </c>
    </row>
    <row r="3428" spans="12:13" x14ac:dyDescent="0.25">
      <c r="L3428" s="65">
        <v>717410</v>
      </c>
      <c r="M3428" t="s">
        <v>2473</v>
      </c>
    </row>
    <row r="3429" spans="12:13" x14ac:dyDescent="0.25">
      <c r="L3429" s="65">
        <v>717411</v>
      </c>
      <c r="M3429" t="s">
        <v>2473</v>
      </c>
    </row>
    <row r="3430" spans="12:13" x14ac:dyDescent="0.25">
      <c r="L3430" s="65">
        <v>717500</v>
      </c>
      <c r="M3430" t="s">
        <v>2474</v>
      </c>
    </row>
    <row r="3431" spans="12:13" x14ac:dyDescent="0.25">
      <c r="L3431" s="65">
        <v>717510</v>
      </c>
      <c r="M3431" t="s">
        <v>2475</v>
      </c>
    </row>
    <row r="3432" spans="12:13" x14ac:dyDescent="0.25">
      <c r="L3432" s="65">
        <v>717511</v>
      </c>
      <c r="M3432" t="s">
        <v>2476</v>
      </c>
    </row>
    <row r="3433" spans="12:13" x14ac:dyDescent="0.25">
      <c r="L3433" s="65">
        <v>717512</v>
      </c>
      <c r="M3433" t="s">
        <v>2477</v>
      </c>
    </row>
    <row r="3434" spans="12:13" x14ac:dyDescent="0.25">
      <c r="L3434" s="65">
        <v>717513</v>
      </c>
      <c r="M3434" t="s">
        <v>2478</v>
      </c>
    </row>
    <row r="3435" spans="12:13" x14ac:dyDescent="0.25">
      <c r="L3435" s="65">
        <v>717514</v>
      </c>
      <c r="M3435" t="s">
        <v>2479</v>
      </c>
    </row>
    <row r="3436" spans="12:13" x14ac:dyDescent="0.25">
      <c r="L3436" s="65">
        <v>717515</v>
      </c>
      <c r="M3436" t="s">
        <v>2480</v>
      </c>
    </row>
    <row r="3437" spans="12:13" x14ac:dyDescent="0.25">
      <c r="L3437" s="65">
        <v>717516</v>
      </c>
      <c r="M3437" t="s">
        <v>2481</v>
      </c>
    </row>
    <row r="3438" spans="12:13" x14ac:dyDescent="0.25">
      <c r="L3438" s="65">
        <v>717600</v>
      </c>
      <c r="M3438" t="s">
        <v>2482</v>
      </c>
    </row>
    <row r="3439" spans="12:13" x14ac:dyDescent="0.25">
      <c r="L3439" s="65">
        <v>717610</v>
      </c>
      <c r="M3439" t="s">
        <v>2482</v>
      </c>
    </row>
    <row r="3440" spans="12:13" x14ac:dyDescent="0.25">
      <c r="L3440" s="65">
        <v>717611</v>
      </c>
      <c r="M3440" t="s">
        <v>2483</v>
      </c>
    </row>
    <row r="3441" spans="12:13" x14ac:dyDescent="0.25">
      <c r="L3441" s="65">
        <v>717612</v>
      </c>
      <c r="M3441" t="s">
        <v>2484</v>
      </c>
    </row>
    <row r="3442" spans="12:13" x14ac:dyDescent="0.25">
      <c r="L3442" s="65">
        <v>719000</v>
      </c>
      <c r="M3442" t="s">
        <v>2485</v>
      </c>
    </row>
    <row r="3443" spans="12:13" x14ac:dyDescent="0.25">
      <c r="L3443" s="65">
        <v>719100</v>
      </c>
      <c r="M3443" t="s">
        <v>2486</v>
      </c>
    </row>
    <row r="3444" spans="12:13" x14ac:dyDescent="0.25">
      <c r="L3444" s="65">
        <v>719110</v>
      </c>
      <c r="M3444" t="s">
        <v>2487</v>
      </c>
    </row>
    <row r="3445" spans="12:13" x14ac:dyDescent="0.25">
      <c r="L3445" s="65">
        <v>719111</v>
      </c>
      <c r="M3445" t="s">
        <v>2488</v>
      </c>
    </row>
    <row r="3446" spans="12:13" x14ac:dyDescent="0.25">
      <c r="L3446" s="65">
        <v>719200</v>
      </c>
      <c r="M3446" t="s">
        <v>2489</v>
      </c>
    </row>
    <row r="3447" spans="12:13" x14ac:dyDescent="0.25">
      <c r="L3447" s="65">
        <v>719210</v>
      </c>
      <c r="M3447" t="s">
        <v>2490</v>
      </c>
    </row>
    <row r="3448" spans="12:13" x14ac:dyDescent="0.25">
      <c r="L3448" s="65">
        <v>719211</v>
      </c>
      <c r="M3448" t="s">
        <v>2491</v>
      </c>
    </row>
    <row r="3449" spans="12:13" x14ac:dyDescent="0.25">
      <c r="L3449" s="65">
        <v>719220</v>
      </c>
      <c r="M3449" t="s">
        <v>2492</v>
      </c>
    </row>
    <row r="3450" spans="12:13" x14ac:dyDescent="0.25">
      <c r="L3450" s="65">
        <v>719221</v>
      </c>
      <c r="M3450" t="s">
        <v>2493</v>
      </c>
    </row>
    <row r="3451" spans="12:13" x14ac:dyDescent="0.25">
      <c r="L3451" s="65">
        <v>719230</v>
      </c>
      <c r="M3451" t="s">
        <v>2494</v>
      </c>
    </row>
    <row r="3452" spans="12:13" x14ac:dyDescent="0.25">
      <c r="L3452" s="65">
        <v>719231</v>
      </c>
      <c r="M3452" t="s">
        <v>2495</v>
      </c>
    </row>
    <row r="3453" spans="12:13" x14ac:dyDescent="0.25">
      <c r="L3453" s="65">
        <v>719240</v>
      </c>
      <c r="M3453" t="s">
        <v>2496</v>
      </c>
    </row>
    <row r="3454" spans="12:13" x14ac:dyDescent="0.25">
      <c r="L3454" s="65">
        <v>719241</v>
      </c>
      <c r="M3454" t="s">
        <v>2497</v>
      </c>
    </row>
    <row r="3455" spans="12:13" x14ac:dyDescent="0.25">
      <c r="L3455" s="65">
        <v>719250</v>
      </c>
      <c r="M3455" t="s">
        <v>2498</v>
      </c>
    </row>
    <row r="3456" spans="12:13" x14ac:dyDescent="0.25">
      <c r="L3456" s="65">
        <v>719251</v>
      </c>
      <c r="M3456" t="s">
        <v>2499</v>
      </c>
    </row>
    <row r="3457" spans="12:13" x14ac:dyDescent="0.25">
      <c r="L3457" s="65">
        <v>719260</v>
      </c>
      <c r="M3457" t="s">
        <v>2500</v>
      </c>
    </row>
    <row r="3458" spans="12:13" x14ac:dyDescent="0.25">
      <c r="L3458" s="65">
        <v>719261</v>
      </c>
      <c r="M3458" t="s">
        <v>2501</v>
      </c>
    </row>
    <row r="3459" spans="12:13" x14ac:dyDescent="0.25">
      <c r="L3459" s="65">
        <v>719262</v>
      </c>
      <c r="M3459" t="s">
        <v>2502</v>
      </c>
    </row>
    <row r="3460" spans="12:13" x14ac:dyDescent="0.25">
      <c r="L3460" s="65">
        <v>719263</v>
      </c>
      <c r="M3460" t="s">
        <v>2503</v>
      </c>
    </row>
    <row r="3461" spans="12:13" x14ac:dyDescent="0.25">
      <c r="L3461" s="65">
        <v>719264</v>
      </c>
      <c r="M3461" t="s">
        <v>2504</v>
      </c>
    </row>
    <row r="3462" spans="12:13" x14ac:dyDescent="0.25">
      <c r="L3462" s="65">
        <v>719265</v>
      </c>
      <c r="M3462" t="s">
        <v>2505</v>
      </c>
    </row>
    <row r="3463" spans="12:13" x14ac:dyDescent="0.25">
      <c r="L3463" s="65">
        <v>719300</v>
      </c>
      <c r="M3463" t="s">
        <v>2506</v>
      </c>
    </row>
    <row r="3464" spans="12:13" x14ac:dyDescent="0.25">
      <c r="L3464" s="65">
        <v>719310</v>
      </c>
      <c r="M3464" t="s">
        <v>2507</v>
      </c>
    </row>
    <row r="3465" spans="12:13" x14ac:dyDescent="0.25">
      <c r="L3465" s="65">
        <v>719311</v>
      </c>
      <c r="M3465" t="s">
        <v>2508</v>
      </c>
    </row>
    <row r="3466" spans="12:13" x14ac:dyDescent="0.25">
      <c r="L3466" s="65">
        <v>719320</v>
      </c>
      <c r="M3466" t="s">
        <v>2509</v>
      </c>
    </row>
    <row r="3467" spans="12:13" x14ac:dyDescent="0.25">
      <c r="L3467" s="65">
        <v>719321</v>
      </c>
      <c r="M3467" t="s">
        <v>2510</v>
      </c>
    </row>
    <row r="3468" spans="12:13" x14ac:dyDescent="0.25">
      <c r="L3468" s="65">
        <v>719330</v>
      </c>
      <c r="M3468" t="s">
        <v>2511</v>
      </c>
    </row>
    <row r="3469" spans="12:13" x14ac:dyDescent="0.25">
      <c r="L3469" s="65">
        <v>719331</v>
      </c>
      <c r="M3469" t="s">
        <v>2512</v>
      </c>
    </row>
    <row r="3470" spans="12:13" x14ac:dyDescent="0.25">
      <c r="L3470" s="65">
        <v>719400</v>
      </c>
      <c r="M3470" t="s">
        <v>2513</v>
      </c>
    </row>
    <row r="3471" spans="12:13" x14ac:dyDescent="0.25">
      <c r="L3471" s="65">
        <v>719410</v>
      </c>
      <c r="M3471" t="s">
        <v>2514</v>
      </c>
    </row>
    <row r="3472" spans="12:13" x14ac:dyDescent="0.25">
      <c r="L3472" s="65">
        <v>719411</v>
      </c>
      <c r="M3472" t="s">
        <v>2515</v>
      </c>
    </row>
    <row r="3473" spans="12:13" x14ac:dyDescent="0.25">
      <c r="L3473" s="65">
        <v>719412</v>
      </c>
      <c r="M3473" t="s">
        <v>2516</v>
      </c>
    </row>
    <row r="3474" spans="12:13" x14ac:dyDescent="0.25">
      <c r="L3474" s="65">
        <v>719413</v>
      </c>
      <c r="M3474" t="s">
        <v>2517</v>
      </c>
    </row>
    <row r="3475" spans="12:13" x14ac:dyDescent="0.25">
      <c r="L3475" s="65">
        <v>719414</v>
      </c>
      <c r="M3475" t="s">
        <v>2518</v>
      </c>
    </row>
    <row r="3476" spans="12:13" x14ac:dyDescent="0.25">
      <c r="L3476" s="65">
        <v>719415</v>
      </c>
      <c r="M3476" t="s">
        <v>2519</v>
      </c>
    </row>
    <row r="3477" spans="12:13" x14ac:dyDescent="0.25">
      <c r="L3477" s="65">
        <v>719500</v>
      </c>
      <c r="M3477" t="s">
        <v>2520</v>
      </c>
    </row>
    <row r="3478" spans="12:13" x14ac:dyDescent="0.25">
      <c r="L3478" s="65">
        <v>719510</v>
      </c>
      <c r="M3478" t="s">
        <v>2521</v>
      </c>
    </row>
    <row r="3479" spans="12:13" x14ac:dyDescent="0.25">
      <c r="L3479" s="65">
        <v>719511</v>
      </c>
      <c r="M3479" t="s">
        <v>2522</v>
      </c>
    </row>
    <row r="3480" spans="12:13" x14ac:dyDescent="0.25">
      <c r="L3480" s="65">
        <v>719600</v>
      </c>
      <c r="M3480" t="s">
        <v>2523</v>
      </c>
    </row>
    <row r="3481" spans="12:13" x14ac:dyDescent="0.25">
      <c r="L3481" s="65">
        <v>719610</v>
      </c>
      <c r="M3481" t="s">
        <v>2524</v>
      </c>
    </row>
    <row r="3482" spans="12:13" x14ac:dyDescent="0.25">
      <c r="L3482" s="65">
        <v>719611</v>
      </c>
      <c r="M3482" t="s">
        <v>2525</v>
      </c>
    </row>
    <row r="3483" spans="12:13" x14ac:dyDescent="0.25">
      <c r="L3483" s="65">
        <v>720000</v>
      </c>
      <c r="M3483" t="s">
        <v>2526</v>
      </c>
    </row>
    <row r="3484" spans="12:13" x14ac:dyDescent="0.25">
      <c r="L3484" s="65">
        <v>721000</v>
      </c>
      <c r="M3484" t="s">
        <v>2527</v>
      </c>
    </row>
    <row r="3485" spans="12:13" x14ac:dyDescent="0.25">
      <c r="L3485" s="65">
        <v>721100</v>
      </c>
      <c r="M3485" t="s">
        <v>2528</v>
      </c>
    </row>
    <row r="3486" spans="12:13" x14ac:dyDescent="0.25">
      <c r="L3486" s="65">
        <v>721110</v>
      </c>
      <c r="M3486" t="s">
        <v>2529</v>
      </c>
    </row>
    <row r="3487" spans="12:13" x14ac:dyDescent="0.25">
      <c r="L3487" s="65">
        <v>721111</v>
      </c>
      <c r="M3487" t="s">
        <v>2530</v>
      </c>
    </row>
    <row r="3488" spans="12:13" x14ac:dyDescent="0.25">
      <c r="L3488" s="65">
        <v>721112</v>
      </c>
      <c r="M3488" t="s">
        <v>2531</v>
      </c>
    </row>
    <row r="3489" spans="12:13" x14ac:dyDescent="0.25">
      <c r="L3489" s="65">
        <v>721113</v>
      </c>
      <c r="M3489" t="s">
        <v>2532</v>
      </c>
    </row>
    <row r="3490" spans="12:13" x14ac:dyDescent="0.25">
      <c r="L3490" s="65">
        <v>721114</v>
      </c>
      <c r="M3490" t="s">
        <v>2533</v>
      </c>
    </row>
    <row r="3491" spans="12:13" x14ac:dyDescent="0.25">
      <c r="L3491" s="65">
        <v>721115</v>
      </c>
      <c r="M3491" t="s">
        <v>2534</v>
      </c>
    </row>
    <row r="3492" spans="12:13" x14ac:dyDescent="0.25">
      <c r="L3492" s="65">
        <v>721116</v>
      </c>
      <c r="M3492" t="s">
        <v>2535</v>
      </c>
    </row>
    <row r="3493" spans="12:13" x14ac:dyDescent="0.25">
      <c r="L3493" s="65">
        <v>721117</v>
      </c>
      <c r="M3493" t="s">
        <v>2536</v>
      </c>
    </row>
    <row r="3494" spans="12:13" x14ac:dyDescent="0.25">
      <c r="L3494" s="65">
        <v>721118</v>
      </c>
      <c r="M3494" t="s">
        <v>2537</v>
      </c>
    </row>
    <row r="3495" spans="12:13" x14ac:dyDescent="0.25">
      <c r="L3495" s="65">
        <v>721119</v>
      </c>
      <c r="M3495" t="s">
        <v>2538</v>
      </c>
    </row>
    <row r="3496" spans="12:13" x14ac:dyDescent="0.25">
      <c r="L3496" s="65">
        <v>721120</v>
      </c>
      <c r="M3496" t="s">
        <v>2539</v>
      </c>
    </row>
    <row r="3497" spans="12:13" x14ac:dyDescent="0.25">
      <c r="L3497" s="65">
        <v>721121</v>
      </c>
      <c r="M3497" t="s">
        <v>2540</v>
      </c>
    </row>
    <row r="3498" spans="12:13" x14ac:dyDescent="0.25">
      <c r="L3498" s="65">
        <v>721122</v>
      </c>
      <c r="M3498" t="s">
        <v>2541</v>
      </c>
    </row>
    <row r="3499" spans="12:13" x14ac:dyDescent="0.25">
      <c r="L3499" s="65">
        <v>721130</v>
      </c>
      <c r="M3499" t="s">
        <v>2542</v>
      </c>
    </row>
    <row r="3500" spans="12:13" x14ac:dyDescent="0.25">
      <c r="L3500" s="65">
        <v>721131</v>
      </c>
      <c r="M3500" t="s">
        <v>2543</v>
      </c>
    </row>
    <row r="3501" spans="12:13" x14ac:dyDescent="0.25">
      <c r="L3501" s="65">
        <v>721200</v>
      </c>
      <c r="M3501" t="s">
        <v>2544</v>
      </c>
    </row>
    <row r="3502" spans="12:13" x14ac:dyDescent="0.25">
      <c r="L3502" s="65">
        <v>721210</v>
      </c>
      <c r="M3502" t="s">
        <v>2529</v>
      </c>
    </row>
    <row r="3503" spans="12:13" x14ac:dyDescent="0.25">
      <c r="L3503" s="65">
        <v>721211</v>
      </c>
      <c r="M3503" t="s">
        <v>2545</v>
      </c>
    </row>
    <row r="3504" spans="12:13" x14ac:dyDescent="0.25">
      <c r="L3504" s="65">
        <v>721212</v>
      </c>
      <c r="M3504" t="s">
        <v>2546</v>
      </c>
    </row>
    <row r="3505" spans="12:13" x14ac:dyDescent="0.25">
      <c r="L3505" s="65">
        <v>721213</v>
      </c>
      <c r="M3505" t="s">
        <v>2547</v>
      </c>
    </row>
    <row r="3506" spans="12:13" x14ac:dyDescent="0.25">
      <c r="L3506" s="65">
        <v>721214</v>
      </c>
      <c r="M3506" t="s">
        <v>2548</v>
      </c>
    </row>
    <row r="3507" spans="12:13" x14ac:dyDescent="0.25">
      <c r="L3507" s="65">
        <v>721215</v>
      </c>
      <c r="M3507" t="s">
        <v>2549</v>
      </c>
    </row>
    <row r="3508" spans="12:13" x14ac:dyDescent="0.25">
      <c r="L3508" s="65">
        <v>721216</v>
      </c>
      <c r="M3508" t="s">
        <v>2550</v>
      </c>
    </row>
    <row r="3509" spans="12:13" x14ac:dyDescent="0.25">
      <c r="L3509" s="65">
        <v>721217</v>
      </c>
      <c r="M3509" t="s">
        <v>2551</v>
      </c>
    </row>
    <row r="3510" spans="12:13" x14ac:dyDescent="0.25">
      <c r="L3510" s="65">
        <v>721218</v>
      </c>
      <c r="M3510" t="s">
        <v>2552</v>
      </c>
    </row>
    <row r="3511" spans="12:13" x14ac:dyDescent="0.25">
      <c r="L3511" s="65">
        <v>721219</v>
      </c>
      <c r="M3511" t="s">
        <v>2553</v>
      </c>
    </row>
    <row r="3512" spans="12:13" x14ac:dyDescent="0.25">
      <c r="L3512" s="65">
        <v>721220</v>
      </c>
      <c r="M3512" t="s">
        <v>2539</v>
      </c>
    </row>
    <row r="3513" spans="12:13" x14ac:dyDescent="0.25">
      <c r="L3513" s="65">
        <v>721221</v>
      </c>
      <c r="M3513" t="s">
        <v>2554</v>
      </c>
    </row>
    <row r="3514" spans="12:13" x14ac:dyDescent="0.25">
      <c r="L3514" s="65">
        <v>721222</v>
      </c>
      <c r="M3514" t="s">
        <v>2555</v>
      </c>
    </row>
    <row r="3515" spans="12:13" x14ac:dyDescent="0.25">
      <c r="L3515" s="65">
        <v>721223</v>
      </c>
      <c r="M3515" t="s">
        <v>2556</v>
      </c>
    </row>
    <row r="3516" spans="12:13" x14ac:dyDescent="0.25">
      <c r="L3516" s="65">
        <v>721224</v>
      </c>
      <c r="M3516" t="s">
        <v>2557</v>
      </c>
    </row>
    <row r="3517" spans="12:13" x14ac:dyDescent="0.25">
      <c r="L3517" s="65">
        <v>721225</v>
      </c>
      <c r="M3517" t="s">
        <v>2558</v>
      </c>
    </row>
    <row r="3518" spans="12:13" x14ac:dyDescent="0.25">
      <c r="L3518" s="65">
        <v>721226</v>
      </c>
      <c r="M3518" t="s">
        <v>2559</v>
      </c>
    </row>
    <row r="3519" spans="12:13" x14ac:dyDescent="0.25">
      <c r="L3519" s="65">
        <v>721230</v>
      </c>
      <c r="M3519" t="s">
        <v>2542</v>
      </c>
    </row>
    <row r="3520" spans="12:13" x14ac:dyDescent="0.25">
      <c r="L3520" s="65">
        <v>721231</v>
      </c>
      <c r="M3520" t="s">
        <v>2560</v>
      </c>
    </row>
    <row r="3521" spans="12:13" x14ac:dyDescent="0.25">
      <c r="L3521" s="65">
        <v>721232</v>
      </c>
      <c r="M3521" t="s">
        <v>2561</v>
      </c>
    </row>
    <row r="3522" spans="12:13" x14ac:dyDescent="0.25">
      <c r="L3522" s="65">
        <v>721233</v>
      </c>
      <c r="M3522" t="s">
        <v>2562</v>
      </c>
    </row>
    <row r="3523" spans="12:13" x14ac:dyDescent="0.25">
      <c r="L3523" s="65">
        <v>721300</v>
      </c>
      <c r="M3523" t="s">
        <v>2563</v>
      </c>
    </row>
    <row r="3524" spans="12:13" x14ac:dyDescent="0.25">
      <c r="L3524" s="65">
        <v>721310</v>
      </c>
      <c r="M3524" t="s">
        <v>2529</v>
      </c>
    </row>
    <row r="3525" spans="12:13" x14ac:dyDescent="0.25">
      <c r="L3525" s="65">
        <v>721311</v>
      </c>
      <c r="M3525" t="s">
        <v>2564</v>
      </c>
    </row>
    <row r="3526" spans="12:13" x14ac:dyDescent="0.25">
      <c r="L3526" s="65">
        <v>721312</v>
      </c>
      <c r="M3526" t="s">
        <v>2565</v>
      </c>
    </row>
    <row r="3527" spans="12:13" x14ac:dyDescent="0.25">
      <c r="L3527" s="65">
        <v>721313</v>
      </c>
      <c r="M3527" t="s">
        <v>2566</v>
      </c>
    </row>
    <row r="3528" spans="12:13" x14ac:dyDescent="0.25">
      <c r="L3528" s="65">
        <v>721314</v>
      </c>
      <c r="M3528" t="s">
        <v>2567</v>
      </c>
    </row>
    <row r="3529" spans="12:13" x14ac:dyDescent="0.25">
      <c r="L3529" s="65">
        <v>721315</v>
      </c>
      <c r="M3529" t="s">
        <v>2568</v>
      </c>
    </row>
    <row r="3530" spans="12:13" x14ac:dyDescent="0.25">
      <c r="L3530" s="65">
        <v>721316</v>
      </c>
      <c r="M3530" t="s">
        <v>2569</v>
      </c>
    </row>
    <row r="3531" spans="12:13" x14ac:dyDescent="0.25">
      <c r="L3531" s="65">
        <v>721317</v>
      </c>
      <c r="M3531" t="s">
        <v>2570</v>
      </c>
    </row>
    <row r="3532" spans="12:13" x14ac:dyDescent="0.25">
      <c r="L3532" s="65">
        <v>721318</v>
      </c>
      <c r="M3532" t="s">
        <v>2571</v>
      </c>
    </row>
    <row r="3533" spans="12:13" x14ac:dyDescent="0.25">
      <c r="L3533" s="65">
        <v>721319</v>
      </c>
      <c r="M3533" t="s">
        <v>2572</v>
      </c>
    </row>
    <row r="3534" spans="12:13" x14ac:dyDescent="0.25">
      <c r="L3534" s="65">
        <v>721320</v>
      </c>
      <c r="M3534" t="s">
        <v>2539</v>
      </c>
    </row>
    <row r="3535" spans="12:13" x14ac:dyDescent="0.25">
      <c r="L3535" s="65">
        <v>721321</v>
      </c>
      <c r="M3535" t="s">
        <v>2573</v>
      </c>
    </row>
    <row r="3536" spans="12:13" x14ac:dyDescent="0.25">
      <c r="L3536" s="65">
        <v>721322</v>
      </c>
      <c r="M3536" t="s">
        <v>2574</v>
      </c>
    </row>
    <row r="3537" spans="12:13" x14ac:dyDescent="0.25">
      <c r="L3537" s="65">
        <v>721323</v>
      </c>
      <c r="M3537" t="s">
        <v>2575</v>
      </c>
    </row>
    <row r="3538" spans="12:13" x14ac:dyDescent="0.25">
      <c r="L3538" s="65">
        <v>721324</v>
      </c>
      <c r="M3538" t="s">
        <v>2576</v>
      </c>
    </row>
    <row r="3539" spans="12:13" x14ac:dyDescent="0.25">
      <c r="L3539" s="65">
        <v>721325</v>
      </c>
      <c r="M3539" t="s">
        <v>2577</v>
      </c>
    </row>
    <row r="3540" spans="12:13" x14ac:dyDescent="0.25">
      <c r="L3540" s="65">
        <v>721330</v>
      </c>
      <c r="M3540" t="s">
        <v>2542</v>
      </c>
    </row>
    <row r="3541" spans="12:13" x14ac:dyDescent="0.25">
      <c r="L3541" s="65">
        <v>721331</v>
      </c>
      <c r="M3541" t="s">
        <v>2578</v>
      </c>
    </row>
    <row r="3542" spans="12:13" x14ac:dyDescent="0.25">
      <c r="L3542" s="65">
        <v>721332</v>
      </c>
      <c r="M3542" t="s">
        <v>2579</v>
      </c>
    </row>
    <row r="3543" spans="12:13" x14ac:dyDescent="0.25">
      <c r="L3543" s="65">
        <v>721400</v>
      </c>
      <c r="M3543" t="s">
        <v>2580</v>
      </c>
    </row>
    <row r="3544" spans="12:13" x14ac:dyDescent="0.25">
      <c r="L3544" s="65">
        <v>721410</v>
      </c>
      <c r="M3544" t="s">
        <v>2529</v>
      </c>
    </row>
    <row r="3545" spans="12:13" x14ac:dyDescent="0.25">
      <c r="L3545" s="65">
        <v>721411</v>
      </c>
      <c r="M3545" t="s">
        <v>2581</v>
      </c>
    </row>
    <row r="3546" spans="12:13" x14ac:dyDescent="0.25">
      <c r="L3546" s="65">
        <v>721412</v>
      </c>
      <c r="M3546" t="s">
        <v>2582</v>
      </c>
    </row>
    <row r="3547" spans="12:13" x14ac:dyDescent="0.25">
      <c r="L3547" s="65">
        <v>721413</v>
      </c>
      <c r="M3547" t="s">
        <v>2583</v>
      </c>
    </row>
    <row r="3548" spans="12:13" x14ac:dyDescent="0.25">
      <c r="L3548" s="65">
        <v>721414</v>
      </c>
      <c r="M3548" t="s">
        <v>2584</v>
      </c>
    </row>
    <row r="3549" spans="12:13" x14ac:dyDescent="0.25">
      <c r="L3549" s="65">
        <v>721415</v>
      </c>
      <c r="M3549" t="s">
        <v>2585</v>
      </c>
    </row>
    <row r="3550" spans="12:13" x14ac:dyDescent="0.25">
      <c r="L3550" s="65">
        <v>721416</v>
      </c>
      <c r="M3550" t="s">
        <v>2586</v>
      </c>
    </row>
    <row r="3551" spans="12:13" x14ac:dyDescent="0.25">
      <c r="L3551" s="65">
        <v>721417</v>
      </c>
      <c r="M3551" t="s">
        <v>2587</v>
      </c>
    </row>
    <row r="3552" spans="12:13" x14ac:dyDescent="0.25">
      <c r="L3552" s="65">
        <v>721418</v>
      </c>
      <c r="M3552" t="s">
        <v>2588</v>
      </c>
    </row>
    <row r="3553" spans="12:13" x14ac:dyDescent="0.25">
      <c r="L3553" s="65">
        <v>721419</v>
      </c>
      <c r="M3553" t="s">
        <v>2589</v>
      </c>
    </row>
    <row r="3554" spans="12:13" x14ac:dyDescent="0.25">
      <c r="L3554" s="65">
        <v>721420</v>
      </c>
      <c r="M3554" t="s">
        <v>2590</v>
      </c>
    </row>
    <row r="3555" spans="12:13" x14ac:dyDescent="0.25">
      <c r="L3555" s="65">
        <v>721421</v>
      </c>
      <c r="M3555" t="s">
        <v>2590</v>
      </c>
    </row>
    <row r="3556" spans="12:13" x14ac:dyDescent="0.25">
      <c r="L3556" s="65">
        <v>721430</v>
      </c>
      <c r="M3556" t="s">
        <v>2591</v>
      </c>
    </row>
    <row r="3557" spans="12:13" x14ac:dyDescent="0.25">
      <c r="L3557" s="65">
        <v>721431</v>
      </c>
      <c r="M3557" t="s">
        <v>2591</v>
      </c>
    </row>
    <row r="3558" spans="12:13" x14ac:dyDescent="0.25">
      <c r="L3558" s="65">
        <v>721432</v>
      </c>
      <c r="M3558" t="s">
        <v>2592</v>
      </c>
    </row>
    <row r="3559" spans="12:13" x14ac:dyDescent="0.25">
      <c r="L3559" s="65">
        <v>722000</v>
      </c>
      <c r="M3559" t="s">
        <v>2593</v>
      </c>
    </row>
    <row r="3560" spans="12:13" x14ac:dyDescent="0.25">
      <c r="L3560" s="65">
        <v>722100</v>
      </c>
      <c r="M3560" t="s">
        <v>2594</v>
      </c>
    </row>
    <row r="3561" spans="12:13" x14ac:dyDescent="0.25">
      <c r="L3561" s="65">
        <v>722110</v>
      </c>
      <c r="M3561" t="s">
        <v>2594</v>
      </c>
    </row>
    <row r="3562" spans="12:13" x14ac:dyDescent="0.25">
      <c r="L3562" s="65">
        <v>722111</v>
      </c>
      <c r="M3562" t="s">
        <v>2594</v>
      </c>
    </row>
    <row r="3563" spans="12:13" x14ac:dyDescent="0.25">
      <c r="L3563" s="65">
        <v>722200</v>
      </c>
      <c r="M3563" t="s">
        <v>2595</v>
      </c>
    </row>
    <row r="3564" spans="12:13" x14ac:dyDescent="0.25">
      <c r="L3564" s="65">
        <v>722210</v>
      </c>
      <c r="M3564" t="s">
        <v>2595</v>
      </c>
    </row>
    <row r="3565" spans="12:13" x14ac:dyDescent="0.25">
      <c r="L3565" s="65">
        <v>722211</v>
      </c>
      <c r="M3565" t="s">
        <v>2595</v>
      </c>
    </row>
    <row r="3566" spans="12:13" x14ac:dyDescent="0.25">
      <c r="L3566" s="65">
        <v>722300</v>
      </c>
      <c r="M3566" t="s">
        <v>2596</v>
      </c>
    </row>
    <row r="3567" spans="12:13" x14ac:dyDescent="0.25">
      <c r="L3567" s="65">
        <v>722310</v>
      </c>
      <c r="M3567" t="s">
        <v>2596</v>
      </c>
    </row>
    <row r="3568" spans="12:13" x14ac:dyDescent="0.25">
      <c r="L3568" s="65">
        <v>722311</v>
      </c>
      <c r="M3568" t="s">
        <v>2596</v>
      </c>
    </row>
    <row r="3569" spans="12:13" x14ac:dyDescent="0.25">
      <c r="L3569" s="65">
        <v>730000</v>
      </c>
      <c r="M3569" t="s">
        <v>2598</v>
      </c>
    </row>
    <row r="3570" spans="12:13" x14ac:dyDescent="0.25">
      <c r="L3570" s="65">
        <v>731000</v>
      </c>
      <c r="M3570" t="s">
        <v>2599</v>
      </c>
    </row>
    <row r="3571" spans="12:13" x14ac:dyDescent="0.25">
      <c r="L3571" s="65">
        <v>731100</v>
      </c>
      <c r="M3571" t="s">
        <v>2600</v>
      </c>
    </row>
    <row r="3572" spans="12:13" x14ac:dyDescent="0.25">
      <c r="L3572" s="65">
        <v>731120</v>
      </c>
      <c r="M3572" t="s">
        <v>2601</v>
      </c>
    </row>
    <row r="3573" spans="12:13" x14ac:dyDescent="0.25">
      <c r="L3573" s="65">
        <v>731121</v>
      </c>
      <c r="M3573" t="s">
        <v>2601</v>
      </c>
    </row>
    <row r="3574" spans="12:13" x14ac:dyDescent="0.25">
      <c r="L3574" s="65">
        <v>731130</v>
      </c>
      <c r="M3574" t="s">
        <v>2602</v>
      </c>
    </row>
    <row r="3575" spans="12:13" x14ac:dyDescent="0.25">
      <c r="L3575" s="65">
        <v>731131</v>
      </c>
      <c r="M3575" t="s">
        <v>2603</v>
      </c>
    </row>
    <row r="3576" spans="12:13" x14ac:dyDescent="0.25">
      <c r="L3576" s="65">
        <v>731132</v>
      </c>
      <c r="M3576" t="s">
        <v>2604</v>
      </c>
    </row>
    <row r="3577" spans="12:13" x14ac:dyDescent="0.25">
      <c r="L3577" s="65">
        <v>731140</v>
      </c>
      <c r="M3577" t="s">
        <v>2605</v>
      </c>
    </row>
    <row r="3578" spans="12:13" x14ac:dyDescent="0.25">
      <c r="L3578" s="65">
        <v>731141</v>
      </c>
      <c r="M3578" t="s">
        <v>2605</v>
      </c>
    </row>
    <row r="3579" spans="12:13" x14ac:dyDescent="0.25">
      <c r="L3579" s="65">
        <v>731150</v>
      </c>
      <c r="M3579" t="s">
        <v>2606</v>
      </c>
    </row>
    <row r="3580" spans="12:13" x14ac:dyDescent="0.25">
      <c r="L3580" s="65">
        <v>731151</v>
      </c>
      <c r="M3580" t="s">
        <v>2606</v>
      </c>
    </row>
    <row r="3581" spans="12:13" x14ac:dyDescent="0.25">
      <c r="L3581" s="65">
        <v>731160</v>
      </c>
      <c r="M3581" t="s">
        <v>2607</v>
      </c>
    </row>
    <row r="3582" spans="12:13" x14ac:dyDescent="0.25">
      <c r="L3582" s="65">
        <v>731161</v>
      </c>
      <c r="M3582" t="s">
        <v>2608</v>
      </c>
    </row>
    <row r="3583" spans="12:13" x14ac:dyDescent="0.25">
      <c r="L3583" s="65">
        <v>731162</v>
      </c>
      <c r="M3583" t="s">
        <v>2609</v>
      </c>
    </row>
    <row r="3584" spans="12:13" x14ac:dyDescent="0.25">
      <c r="L3584" s="65">
        <v>731165</v>
      </c>
      <c r="M3584" t="s">
        <v>2610</v>
      </c>
    </row>
    <row r="3585" spans="12:13" x14ac:dyDescent="0.25">
      <c r="L3585" s="65">
        <v>731200</v>
      </c>
      <c r="M3585" t="s">
        <v>2611</v>
      </c>
    </row>
    <row r="3586" spans="12:13" x14ac:dyDescent="0.25">
      <c r="L3586" s="65">
        <v>731220</v>
      </c>
      <c r="M3586" t="s">
        <v>2612</v>
      </c>
    </row>
    <row r="3587" spans="12:13" x14ac:dyDescent="0.25">
      <c r="L3587" s="65">
        <v>731221</v>
      </c>
      <c r="M3587" t="s">
        <v>2612</v>
      </c>
    </row>
    <row r="3588" spans="12:13" x14ac:dyDescent="0.25">
      <c r="L3588" s="65">
        <v>731230</v>
      </c>
      <c r="M3588" t="s">
        <v>2613</v>
      </c>
    </row>
    <row r="3589" spans="12:13" x14ac:dyDescent="0.25">
      <c r="L3589" s="65">
        <v>731231</v>
      </c>
      <c r="M3589" t="s">
        <v>2614</v>
      </c>
    </row>
    <row r="3590" spans="12:13" x14ac:dyDescent="0.25">
      <c r="L3590" s="65">
        <v>731232</v>
      </c>
      <c r="M3590" t="s">
        <v>2615</v>
      </c>
    </row>
    <row r="3591" spans="12:13" x14ac:dyDescent="0.25">
      <c r="L3591" s="65">
        <v>731240</v>
      </c>
      <c r="M3591" t="s">
        <v>2616</v>
      </c>
    </row>
    <row r="3592" spans="12:13" x14ac:dyDescent="0.25">
      <c r="L3592" s="65">
        <v>731241</v>
      </c>
      <c r="M3592" t="s">
        <v>2616</v>
      </c>
    </row>
    <row r="3593" spans="12:13" x14ac:dyDescent="0.25">
      <c r="L3593" s="65">
        <v>731250</v>
      </c>
      <c r="M3593" t="s">
        <v>2617</v>
      </c>
    </row>
    <row r="3594" spans="12:13" x14ac:dyDescent="0.25">
      <c r="L3594" s="65">
        <v>731251</v>
      </c>
      <c r="M3594" t="s">
        <v>2617</v>
      </c>
    </row>
    <row r="3595" spans="12:13" x14ac:dyDescent="0.25">
      <c r="L3595" s="65">
        <v>731260</v>
      </c>
      <c r="M3595" t="s">
        <v>2618</v>
      </c>
    </row>
    <row r="3596" spans="12:13" x14ac:dyDescent="0.25">
      <c r="L3596" s="65">
        <v>731261</v>
      </c>
      <c r="M3596" t="s">
        <v>2619</v>
      </c>
    </row>
    <row r="3597" spans="12:13" x14ac:dyDescent="0.25">
      <c r="L3597" s="65">
        <v>731262</v>
      </c>
      <c r="M3597" t="s">
        <v>2620</v>
      </c>
    </row>
    <row r="3598" spans="12:13" x14ac:dyDescent="0.25">
      <c r="L3598" s="65">
        <v>731265</v>
      </c>
      <c r="M3598" t="s">
        <v>2621</v>
      </c>
    </row>
    <row r="3599" spans="12:13" x14ac:dyDescent="0.25">
      <c r="L3599" s="65">
        <v>732000</v>
      </c>
      <c r="M3599" t="s">
        <v>2623</v>
      </c>
    </row>
    <row r="3600" spans="12:13" x14ac:dyDescent="0.25">
      <c r="L3600" s="65">
        <v>732100</v>
      </c>
      <c r="M3600" t="s">
        <v>2624</v>
      </c>
    </row>
    <row r="3601" spans="12:13" x14ac:dyDescent="0.25">
      <c r="L3601" s="65">
        <v>732120</v>
      </c>
      <c r="M3601" t="s">
        <v>2625</v>
      </c>
    </row>
    <row r="3602" spans="12:13" x14ac:dyDescent="0.25">
      <c r="L3602" s="65">
        <v>732121</v>
      </c>
      <c r="M3602" t="s">
        <v>2625</v>
      </c>
    </row>
    <row r="3603" spans="12:13" x14ac:dyDescent="0.25">
      <c r="L3603" s="65">
        <v>732130</v>
      </c>
      <c r="M3603" t="s">
        <v>2626</v>
      </c>
    </row>
    <row r="3604" spans="12:13" x14ac:dyDescent="0.25">
      <c r="L3604" s="65">
        <v>732131</v>
      </c>
      <c r="M3604" t="s">
        <v>2627</v>
      </c>
    </row>
    <row r="3605" spans="12:13" x14ac:dyDescent="0.25">
      <c r="L3605" s="65">
        <v>732132</v>
      </c>
      <c r="M3605" t="s">
        <v>2628</v>
      </c>
    </row>
    <row r="3606" spans="12:13" x14ac:dyDescent="0.25">
      <c r="L3606" s="65">
        <v>732140</v>
      </c>
      <c r="M3606" t="s">
        <v>2629</v>
      </c>
    </row>
    <row r="3607" spans="12:13" x14ac:dyDescent="0.25">
      <c r="L3607" s="65">
        <v>732141</v>
      </c>
      <c r="M3607" t="s">
        <v>2629</v>
      </c>
    </row>
    <row r="3608" spans="12:13" x14ac:dyDescent="0.25">
      <c r="L3608" s="65">
        <v>732150</v>
      </c>
      <c r="M3608" t="s">
        <v>2630</v>
      </c>
    </row>
    <row r="3609" spans="12:13" x14ac:dyDescent="0.25">
      <c r="L3609" s="65">
        <v>732151</v>
      </c>
      <c r="M3609" t="s">
        <v>2630</v>
      </c>
    </row>
    <row r="3610" spans="12:13" x14ac:dyDescent="0.25">
      <c r="L3610" s="65">
        <v>732160</v>
      </c>
      <c r="M3610" t="s">
        <v>2631</v>
      </c>
    </row>
    <row r="3611" spans="12:13" x14ac:dyDescent="0.25">
      <c r="L3611" s="65">
        <v>732161</v>
      </c>
      <c r="M3611" t="s">
        <v>2632</v>
      </c>
    </row>
    <row r="3612" spans="12:13" x14ac:dyDescent="0.25">
      <c r="L3612" s="65">
        <v>732162</v>
      </c>
      <c r="M3612" t="s">
        <v>2633</v>
      </c>
    </row>
    <row r="3613" spans="12:13" x14ac:dyDescent="0.25">
      <c r="L3613" s="65">
        <v>732165</v>
      </c>
      <c r="M3613" t="s">
        <v>2634</v>
      </c>
    </row>
    <row r="3614" spans="12:13" x14ac:dyDescent="0.25">
      <c r="L3614" s="65">
        <v>732200</v>
      </c>
      <c r="M3614" t="s">
        <v>2635</v>
      </c>
    </row>
    <row r="3615" spans="12:13" x14ac:dyDescent="0.25">
      <c r="L3615" s="65">
        <v>732220</v>
      </c>
      <c r="M3615" t="s">
        <v>2636</v>
      </c>
    </row>
    <row r="3616" spans="12:13" x14ac:dyDescent="0.25">
      <c r="L3616" s="65">
        <v>732221</v>
      </c>
      <c r="M3616" t="s">
        <v>2636</v>
      </c>
    </row>
    <row r="3617" spans="12:13" x14ac:dyDescent="0.25">
      <c r="L3617" s="65">
        <v>732230</v>
      </c>
      <c r="M3617" t="s">
        <v>2637</v>
      </c>
    </row>
    <row r="3618" spans="12:13" x14ac:dyDescent="0.25">
      <c r="L3618" s="65">
        <v>732231</v>
      </c>
      <c r="M3618" t="s">
        <v>2638</v>
      </c>
    </row>
    <row r="3619" spans="12:13" x14ac:dyDescent="0.25">
      <c r="L3619" s="65">
        <v>732232</v>
      </c>
      <c r="M3619" t="s">
        <v>2639</v>
      </c>
    </row>
    <row r="3620" spans="12:13" x14ac:dyDescent="0.25">
      <c r="L3620" s="65">
        <v>732240</v>
      </c>
      <c r="M3620" t="s">
        <v>2640</v>
      </c>
    </row>
    <row r="3621" spans="12:13" x14ac:dyDescent="0.25">
      <c r="L3621" s="65">
        <v>732241</v>
      </c>
      <c r="M3621" t="s">
        <v>2640</v>
      </c>
    </row>
    <row r="3622" spans="12:13" x14ac:dyDescent="0.25">
      <c r="L3622" s="65">
        <v>732250</v>
      </c>
      <c r="M3622" t="s">
        <v>2641</v>
      </c>
    </row>
    <row r="3623" spans="12:13" x14ac:dyDescent="0.25">
      <c r="L3623" s="65">
        <v>732251</v>
      </c>
      <c r="M3623" t="s">
        <v>2641</v>
      </c>
    </row>
    <row r="3624" spans="12:13" x14ac:dyDescent="0.25">
      <c r="L3624" s="65">
        <v>732260</v>
      </c>
      <c r="M3624" t="s">
        <v>2642</v>
      </c>
    </row>
    <row r="3625" spans="12:13" x14ac:dyDescent="0.25">
      <c r="L3625" s="65">
        <v>732261</v>
      </c>
      <c r="M3625" t="s">
        <v>2643</v>
      </c>
    </row>
    <row r="3626" spans="12:13" x14ac:dyDescent="0.25">
      <c r="L3626" s="65">
        <v>732262</v>
      </c>
      <c r="M3626" t="s">
        <v>2644</v>
      </c>
    </row>
    <row r="3627" spans="12:13" x14ac:dyDescent="0.25">
      <c r="L3627" s="65">
        <v>732265</v>
      </c>
      <c r="M3627" t="s">
        <v>2645</v>
      </c>
    </row>
    <row r="3628" spans="12:13" x14ac:dyDescent="0.25">
      <c r="L3628" s="65">
        <v>733000</v>
      </c>
      <c r="M3628" t="s">
        <v>2647</v>
      </c>
    </row>
    <row r="3629" spans="12:13" x14ac:dyDescent="0.25">
      <c r="L3629" s="65">
        <v>733100</v>
      </c>
      <c r="M3629" t="s">
        <v>2648</v>
      </c>
    </row>
    <row r="3630" spans="12:13" x14ac:dyDescent="0.25">
      <c r="L3630" s="65">
        <v>733120</v>
      </c>
      <c r="M3630" t="s">
        <v>2649</v>
      </c>
    </row>
    <row r="3631" spans="12:13" x14ac:dyDescent="0.25">
      <c r="L3631" s="65">
        <v>733121</v>
      </c>
      <c r="M3631" t="s">
        <v>2649</v>
      </c>
    </row>
    <row r="3632" spans="12:13" x14ac:dyDescent="0.25">
      <c r="L3632" s="65">
        <v>733130</v>
      </c>
      <c r="M3632" t="s">
        <v>2650</v>
      </c>
    </row>
    <row r="3633" spans="12:13" x14ac:dyDescent="0.25">
      <c r="L3633" s="65">
        <v>733131</v>
      </c>
      <c r="M3633" t="s">
        <v>2651</v>
      </c>
    </row>
    <row r="3634" spans="12:13" x14ac:dyDescent="0.25">
      <c r="L3634" s="65">
        <v>733132</v>
      </c>
      <c r="M3634" t="s">
        <v>2652</v>
      </c>
    </row>
    <row r="3635" spans="12:13" x14ac:dyDescent="0.25">
      <c r="L3635" s="65">
        <v>733133</v>
      </c>
      <c r="M3635" t="s">
        <v>2653</v>
      </c>
    </row>
    <row r="3636" spans="12:13" x14ac:dyDescent="0.25">
      <c r="L3636" s="65">
        <v>733134</v>
      </c>
      <c r="M3636" t="s">
        <v>2654</v>
      </c>
    </row>
    <row r="3637" spans="12:13" x14ac:dyDescent="0.25">
      <c r="L3637" s="65">
        <v>733135</v>
      </c>
      <c r="M3637" t="s">
        <v>2655</v>
      </c>
    </row>
    <row r="3638" spans="12:13" x14ac:dyDescent="0.25">
      <c r="L3638" s="65">
        <v>733136</v>
      </c>
      <c r="M3638" t="s">
        <v>2656</v>
      </c>
    </row>
    <row r="3639" spans="12:13" x14ac:dyDescent="0.25">
      <c r="L3639" s="65">
        <v>733140</v>
      </c>
      <c r="M3639" t="s">
        <v>2657</v>
      </c>
    </row>
    <row r="3640" spans="12:13" x14ac:dyDescent="0.25">
      <c r="L3640" s="65">
        <v>733141</v>
      </c>
      <c r="M3640" t="s">
        <v>2658</v>
      </c>
    </row>
    <row r="3641" spans="12:13" x14ac:dyDescent="0.25">
      <c r="L3641" s="65">
        <v>733142</v>
      </c>
      <c r="M3641" t="s">
        <v>2659</v>
      </c>
    </row>
    <row r="3642" spans="12:13" x14ac:dyDescent="0.25">
      <c r="L3642" s="65">
        <v>733143</v>
      </c>
      <c r="M3642" t="s">
        <v>2660</v>
      </c>
    </row>
    <row r="3643" spans="12:13" x14ac:dyDescent="0.25">
      <c r="L3643" s="65">
        <v>733144</v>
      </c>
      <c r="M3643" t="s">
        <v>2662</v>
      </c>
    </row>
    <row r="3644" spans="12:13" x14ac:dyDescent="0.25">
      <c r="L3644" s="65">
        <v>733145</v>
      </c>
      <c r="M3644" t="s">
        <v>2663</v>
      </c>
    </row>
    <row r="3645" spans="12:13" x14ac:dyDescent="0.25">
      <c r="L3645" s="65">
        <v>733146</v>
      </c>
      <c r="M3645" t="s">
        <v>2664</v>
      </c>
    </row>
    <row r="3646" spans="12:13" x14ac:dyDescent="0.25">
      <c r="L3646" s="65">
        <v>733147</v>
      </c>
      <c r="M3646" t="s">
        <v>2665</v>
      </c>
    </row>
    <row r="3647" spans="12:13" x14ac:dyDescent="0.25">
      <c r="L3647" s="65">
        <v>733148</v>
      </c>
      <c r="M3647" t="s">
        <v>2666</v>
      </c>
    </row>
    <row r="3648" spans="12:13" x14ac:dyDescent="0.25">
      <c r="L3648" s="65">
        <v>733150</v>
      </c>
      <c r="M3648" t="s">
        <v>2667</v>
      </c>
    </row>
    <row r="3649" spans="12:13" x14ac:dyDescent="0.25">
      <c r="L3649" s="65">
        <v>733151</v>
      </c>
      <c r="M3649" t="s">
        <v>2668</v>
      </c>
    </row>
    <row r="3650" spans="12:13" x14ac:dyDescent="0.25">
      <c r="L3650" s="65">
        <v>733152</v>
      </c>
      <c r="M3650" t="s">
        <v>2669</v>
      </c>
    </row>
    <row r="3651" spans="12:13" x14ac:dyDescent="0.25">
      <c r="L3651" s="65">
        <v>733153</v>
      </c>
      <c r="M3651" t="s">
        <v>2670</v>
      </c>
    </row>
    <row r="3652" spans="12:13" x14ac:dyDescent="0.25">
      <c r="L3652" s="65">
        <v>733154</v>
      </c>
      <c r="M3652" t="s">
        <v>2671</v>
      </c>
    </row>
    <row r="3653" spans="12:13" x14ac:dyDescent="0.25">
      <c r="L3653" s="65">
        <v>733155</v>
      </c>
      <c r="M3653" t="s">
        <v>2672</v>
      </c>
    </row>
    <row r="3654" spans="12:13" x14ac:dyDescent="0.25">
      <c r="L3654" s="65">
        <v>733156</v>
      </c>
      <c r="M3654" t="s">
        <v>2673</v>
      </c>
    </row>
    <row r="3655" spans="12:13" x14ac:dyDescent="0.25">
      <c r="L3655" s="65">
        <v>733157</v>
      </c>
      <c r="M3655" t="s">
        <v>2674</v>
      </c>
    </row>
    <row r="3656" spans="12:13" x14ac:dyDescent="0.25">
      <c r="L3656" s="65">
        <v>733158</v>
      </c>
      <c r="M3656" t="s">
        <v>2666</v>
      </c>
    </row>
    <row r="3657" spans="12:13" x14ac:dyDescent="0.25">
      <c r="L3657" s="65">
        <v>733160</v>
      </c>
      <c r="M3657" t="s">
        <v>2675</v>
      </c>
    </row>
    <row r="3658" spans="12:13" x14ac:dyDescent="0.25">
      <c r="L3658" s="65">
        <v>733161</v>
      </c>
      <c r="M3658" t="s">
        <v>2676</v>
      </c>
    </row>
    <row r="3659" spans="12:13" x14ac:dyDescent="0.25">
      <c r="L3659" s="65">
        <v>733162</v>
      </c>
      <c r="M3659" t="s">
        <v>2677</v>
      </c>
    </row>
    <row r="3660" spans="12:13" x14ac:dyDescent="0.25">
      <c r="L3660" s="65">
        <v>733163</v>
      </c>
      <c r="M3660" t="s">
        <v>2678</v>
      </c>
    </row>
    <row r="3661" spans="12:13" x14ac:dyDescent="0.25">
      <c r="L3661" s="65">
        <v>733164</v>
      </c>
      <c r="M3661" t="s">
        <v>2679</v>
      </c>
    </row>
    <row r="3662" spans="12:13" x14ac:dyDescent="0.25">
      <c r="L3662" s="65">
        <v>733165</v>
      </c>
      <c r="M3662" t="s">
        <v>2680</v>
      </c>
    </row>
    <row r="3663" spans="12:13" x14ac:dyDescent="0.25">
      <c r="L3663" s="65">
        <v>733166</v>
      </c>
      <c r="M3663" t="s">
        <v>2681</v>
      </c>
    </row>
    <row r="3664" spans="12:13" x14ac:dyDescent="0.25">
      <c r="L3664" s="65">
        <v>733167</v>
      </c>
      <c r="M3664" t="s">
        <v>2682</v>
      </c>
    </row>
    <row r="3665" spans="12:13" x14ac:dyDescent="0.25">
      <c r="L3665" s="65">
        <v>733168</v>
      </c>
      <c r="M3665" t="s">
        <v>2683</v>
      </c>
    </row>
    <row r="3666" spans="12:13" x14ac:dyDescent="0.25">
      <c r="L3666" s="65">
        <v>733200</v>
      </c>
      <c r="M3666" t="s">
        <v>2684</v>
      </c>
    </row>
    <row r="3667" spans="12:13" x14ac:dyDescent="0.25">
      <c r="L3667" s="65">
        <v>733220</v>
      </c>
      <c r="M3667" t="s">
        <v>2685</v>
      </c>
    </row>
    <row r="3668" spans="12:13" x14ac:dyDescent="0.25">
      <c r="L3668" s="65">
        <v>733221</v>
      </c>
      <c r="M3668" t="s">
        <v>2685</v>
      </c>
    </row>
    <row r="3669" spans="12:13" x14ac:dyDescent="0.25">
      <c r="L3669" s="65">
        <v>733230</v>
      </c>
      <c r="M3669" t="s">
        <v>2686</v>
      </c>
    </row>
    <row r="3670" spans="12:13" x14ac:dyDescent="0.25">
      <c r="L3670" s="65">
        <v>733231</v>
      </c>
      <c r="M3670" t="s">
        <v>2687</v>
      </c>
    </row>
    <row r="3671" spans="12:13" x14ac:dyDescent="0.25">
      <c r="L3671" s="65">
        <v>733232</v>
      </c>
      <c r="M3671" t="s">
        <v>2688</v>
      </c>
    </row>
    <row r="3672" spans="12:13" x14ac:dyDescent="0.25">
      <c r="L3672" s="65">
        <v>733233</v>
      </c>
      <c r="M3672" t="s">
        <v>2689</v>
      </c>
    </row>
    <row r="3673" spans="12:13" x14ac:dyDescent="0.25">
      <c r="L3673" s="65">
        <v>733234</v>
      </c>
      <c r="M3673" t="s">
        <v>2690</v>
      </c>
    </row>
    <row r="3674" spans="12:13" x14ac:dyDescent="0.25">
      <c r="L3674" s="65">
        <v>733235</v>
      </c>
      <c r="M3674" t="s">
        <v>2691</v>
      </c>
    </row>
    <row r="3675" spans="12:13" x14ac:dyDescent="0.25">
      <c r="L3675" s="65">
        <v>733236</v>
      </c>
      <c r="M3675" t="s">
        <v>2692</v>
      </c>
    </row>
    <row r="3676" spans="12:13" x14ac:dyDescent="0.25">
      <c r="L3676" s="65">
        <v>733240</v>
      </c>
      <c r="M3676" t="s">
        <v>2693</v>
      </c>
    </row>
    <row r="3677" spans="12:13" x14ac:dyDescent="0.25">
      <c r="L3677" s="65">
        <v>733241</v>
      </c>
      <c r="M3677" t="s">
        <v>2694</v>
      </c>
    </row>
    <row r="3678" spans="12:13" x14ac:dyDescent="0.25">
      <c r="L3678" s="65">
        <v>733242</v>
      </c>
      <c r="M3678" t="s">
        <v>2695</v>
      </c>
    </row>
    <row r="3679" spans="12:13" x14ac:dyDescent="0.25">
      <c r="L3679" s="65">
        <v>733243</v>
      </c>
      <c r="M3679" t="s">
        <v>2697</v>
      </c>
    </row>
    <row r="3680" spans="12:13" x14ac:dyDescent="0.25">
      <c r="L3680" s="65">
        <v>733250</v>
      </c>
      <c r="M3680" t="s">
        <v>2698</v>
      </c>
    </row>
    <row r="3681" spans="12:13" x14ac:dyDescent="0.25">
      <c r="L3681" s="65">
        <v>733251</v>
      </c>
      <c r="M3681" t="s">
        <v>2699</v>
      </c>
    </row>
    <row r="3682" spans="12:13" x14ac:dyDescent="0.25">
      <c r="L3682" s="65">
        <v>733252</v>
      </c>
      <c r="M3682" t="s">
        <v>2700</v>
      </c>
    </row>
    <row r="3683" spans="12:13" x14ac:dyDescent="0.25">
      <c r="L3683" s="65">
        <v>733253</v>
      </c>
      <c r="M3683" t="s">
        <v>2701</v>
      </c>
    </row>
    <row r="3684" spans="12:13" x14ac:dyDescent="0.25">
      <c r="L3684" s="65">
        <v>733260</v>
      </c>
      <c r="M3684" t="s">
        <v>2702</v>
      </c>
    </row>
    <row r="3685" spans="12:13" x14ac:dyDescent="0.25">
      <c r="L3685" s="65">
        <v>733261</v>
      </c>
      <c r="M3685" t="s">
        <v>2703</v>
      </c>
    </row>
    <row r="3686" spans="12:13" x14ac:dyDescent="0.25">
      <c r="L3686" s="65">
        <v>733262</v>
      </c>
      <c r="M3686" t="s">
        <v>2704</v>
      </c>
    </row>
    <row r="3687" spans="12:13" x14ac:dyDescent="0.25">
      <c r="L3687" s="65">
        <v>733265</v>
      </c>
      <c r="M3687" t="s">
        <v>2705</v>
      </c>
    </row>
    <row r="3688" spans="12:13" x14ac:dyDescent="0.25">
      <c r="L3688" s="65">
        <v>740000</v>
      </c>
      <c r="M3688" t="s">
        <v>2707</v>
      </c>
    </row>
    <row r="3689" spans="12:13" x14ac:dyDescent="0.25">
      <c r="L3689" s="65">
        <v>741000</v>
      </c>
      <c r="M3689" t="s">
        <v>2709</v>
      </c>
    </row>
    <row r="3690" spans="12:13" x14ac:dyDescent="0.25">
      <c r="L3690" s="65">
        <v>741100</v>
      </c>
      <c r="M3690" t="s">
        <v>2710</v>
      </c>
    </row>
    <row r="3691" spans="12:13" x14ac:dyDescent="0.25">
      <c r="L3691" s="65">
        <v>741120</v>
      </c>
      <c r="M3691" t="s">
        <v>2711</v>
      </c>
    </row>
    <row r="3692" spans="12:13" x14ac:dyDescent="0.25">
      <c r="L3692" s="65">
        <v>741121</v>
      </c>
      <c r="M3692" t="s">
        <v>2712</v>
      </c>
    </row>
    <row r="3693" spans="12:13" x14ac:dyDescent="0.25">
      <c r="L3693" s="65">
        <v>741122</v>
      </c>
      <c r="M3693" t="s">
        <v>2713</v>
      </c>
    </row>
    <row r="3694" spans="12:13" x14ac:dyDescent="0.25">
      <c r="L3694" s="65">
        <v>741130</v>
      </c>
      <c r="M3694" t="s">
        <v>2714</v>
      </c>
    </row>
    <row r="3695" spans="12:13" x14ac:dyDescent="0.25">
      <c r="L3695" s="65">
        <v>741131</v>
      </c>
      <c r="M3695" t="s">
        <v>2715</v>
      </c>
    </row>
    <row r="3696" spans="12:13" x14ac:dyDescent="0.25">
      <c r="L3696" s="65">
        <v>741132</v>
      </c>
      <c r="M3696" t="s">
        <v>2716</v>
      </c>
    </row>
    <row r="3697" spans="12:13" x14ac:dyDescent="0.25">
      <c r="L3697" s="65">
        <v>741140</v>
      </c>
      <c r="M3697" t="s">
        <v>2717</v>
      </c>
    </row>
    <row r="3698" spans="12:13" x14ac:dyDescent="0.25">
      <c r="L3698" s="65">
        <v>741141</v>
      </c>
      <c r="M3698" t="s">
        <v>2719</v>
      </c>
    </row>
    <row r="3699" spans="12:13" x14ac:dyDescent="0.25">
      <c r="L3699" s="65">
        <v>741142</v>
      </c>
      <c r="M3699" t="s">
        <v>2720</v>
      </c>
    </row>
    <row r="3700" spans="12:13" x14ac:dyDescent="0.25">
      <c r="L3700" s="65">
        <v>741150</v>
      </c>
      <c r="M3700" t="s">
        <v>2721</v>
      </c>
    </row>
    <row r="3701" spans="12:13" x14ac:dyDescent="0.25">
      <c r="L3701" s="65">
        <v>741151</v>
      </c>
      <c r="M3701" t="s">
        <v>2722</v>
      </c>
    </row>
    <row r="3702" spans="12:13" x14ac:dyDescent="0.25">
      <c r="L3702" s="65">
        <v>741152</v>
      </c>
      <c r="M3702" t="s">
        <v>2723</v>
      </c>
    </row>
    <row r="3703" spans="12:13" x14ac:dyDescent="0.25">
      <c r="L3703" s="65">
        <v>741160</v>
      </c>
      <c r="M3703" t="s">
        <v>2724</v>
      </c>
    </row>
    <row r="3704" spans="12:13" x14ac:dyDescent="0.25">
      <c r="L3704" s="65">
        <v>741161</v>
      </c>
      <c r="M3704" t="s">
        <v>2725</v>
      </c>
    </row>
    <row r="3705" spans="12:13" x14ac:dyDescent="0.25">
      <c r="L3705" s="65">
        <v>741162</v>
      </c>
      <c r="M3705" t="s">
        <v>2726</v>
      </c>
    </row>
    <row r="3706" spans="12:13" x14ac:dyDescent="0.25">
      <c r="L3706" s="65">
        <v>741165</v>
      </c>
      <c r="M3706" t="s">
        <v>2727</v>
      </c>
    </row>
    <row r="3707" spans="12:13" x14ac:dyDescent="0.25">
      <c r="L3707" s="65">
        <v>741200</v>
      </c>
      <c r="M3707" t="s">
        <v>2728</v>
      </c>
    </row>
    <row r="3708" spans="12:13" x14ac:dyDescent="0.25">
      <c r="L3708" s="65">
        <v>741210</v>
      </c>
      <c r="M3708" t="s">
        <v>2729</v>
      </c>
    </row>
    <row r="3709" spans="12:13" x14ac:dyDescent="0.25">
      <c r="L3709" s="65">
        <v>741211</v>
      </c>
      <c r="M3709" t="s">
        <v>2730</v>
      </c>
    </row>
    <row r="3710" spans="12:13" x14ac:dyDescent="0.25">
      <c r="L3710" s="65">
        <v>741212</v>
      </c>
      <c r="M3710" t="s">
        <v>2731</v>
      </c>
    </row>
    <row r="3711" spans="12:13" x14ac:dyDescent="0.25">
      <c r="L3711" s="65">
        <v>741220</v>
      </c>
      <c r="M3711" t="s">
        <v>2732</v>
      </c>
    </row>
    <row r="3712" spans="12:13" x14ac:dyDescent="0.25">
      <c r="L3712" s="65">
        <v>741221</v>
      </c>
      <c r="M3712" t="s">
        <v>2732</v>
      </c>
    </row>
    <row r="3713" spans="12:13" x14ac:dyDescent="0.25">
      <c r="L3713" s="65">
        <v>741222</v>
      </c>
      <c r="M3713" t="s">
        <v>2733</v>
      </c>
    </row>
    <row r="3714" spans="12:13" x14ac:dyDescent="0.25">
      <c r="L3714" s="65">
        <v>741223</v>
      </c>
      <c r="M3714" t="s">
        <v>2734</v>
      </c>
    </row>
    <row r="3715" spans="12:13" x14ac:dyDescent="0.25">
      <c r="L3715" s="65">
        <v>741224</v>
      </c>
      <c r="M3715" t="s">
        <v>2735</v>
      </c>
    </row>
    <row r="3716" spans="12:13" x14ac:dyDescent="0.25">
      <c r="L3716" s="65">
        <v>741230</v>
      </c>
      <c r="M3716" t="s">
        <v>2736</v>
      </c>
    </row>
    <row r="3717" spans="12:13" x14ac:dyDescent="0.25">
      <c r="L3717" s="65">
        <v>741231</v>
      </c>
      <c r="M3717" t="s">
        <v>2737</v>
      </c>
    </row>
    <row r="3718" spans="12:13" x14ac:dyDescent="0.25">
      <c r="L3718" s="65">
        <v>741232</v>
      </c>
      <c r="M3718" t="s">
        <v>2738</v>
      </c>
    </row>
    <row r="3719" spans="12:13" x14ac:dyDescent="0.25">
      <c r="L3719" s="65">
        <v>741240</v>
      </c>
      <c r="M3719" t="s">
        <v>2739</v>
      </c>
    </row>
    <row r="3720" spans="12:13" x14ac:dyDescent="0.25">
      <c r="L3720" s="65">
        <v>741241</v>
      </c>
      <c r="M3720" t="s">
        <v>2739</v>
      </c>
    </row>
    <row r="3721" spans="12:13" x14ac:dyDescent="0.25">
      <c r="L3721" s="65">
        <v>741250</v>
      </c>
      <c r="M3721" t="s">
        <v>2740</v>
      </c>
    </row>
    <row r="3722" spans="12:13" x14ac:dyDescent="0.25">
      <c r="L3722" s="65">
        <v>741251</v>
      </c>
      <c r="M3722" t="s">
        <v>2740</v>
      </c>
    </row>
    <row r="3723" spans="12:13" x14ac:dyDescent="0.25">
      <c r="L3723" s="65">
        <v>741260</v>
      </c>
      <c r="M3723" t="s">
        <v>2741</v>
      </c>
    </row>
    <row r="3724" spans="12:13" x14ac:dyDescent="0.25">
      <c r="L3724" s="65">
        <v>741261</v>
      </c>
      <c r="M3724" t="s">
        <v>2742</v>
      </c>
    </row>
    <row r="3725" spans="12:13" x14ac:dyDescent="0.25">
      <c r="L3725" s="65">
        <v>741262</v>
      </c>
      <c r="M3725" t="s">
        <v>2743</v>
      </c>
    </row>
    <row r="3726" spans="12:13" x14ac:dyDescent="0.25">
      <c r="L3726" s="65">
        <v>741265</v>
      </c>
      <c r="M3726" t="s">
        <v>2744</v>
      </c>
    </row>
    <row r="3727" spans="12:13" x14ac:dyDescent="0.25">
      <c r="L3727" s="65">
        <v>741300</v>
      </c>
      <c r="M3727" t="s">
        <v>2745</v>
      </c>
    </row>
    <row r="3728" spans="12:13" x14ac:dyDescent="0.25">
      <c r="L3728" s="65">
        <v>741310</v>
      </c>
      <c r="M3728" t="s">
        <v>2745</v>
      </c>
    </row>
    <row r="3729" spans="12:13" x14ac:dyDescent="0.25">
      <c r="L3729" s="65">
        <v>741311</v>
      </c>
      <c r="M3729" t="s">
        <v>2745</v>
      </c>
    </row>
    <row r="3730" spans="12:13" x14ac:dyDescent="0.25">
      <c r="L3730" s="65">
        <v>741400</v>
      </c>
      <c r="M3730" t="s">
        <v>2746</v>
      </c>
    </row>
    <row r="3731" spans="12:13" x14ac:dyDescent="0.25">
      <c r="L3731" s="65">
        <v>741410</v>
      </c>
      <c r="M3731" t="s">
        <v>2746</v>
      </c>
    </row>
    <row r="3732" spans="12:13" x14ac:dyDescent="0.25">
      <c r="L3732" s="65">
        <v>741411</v>
      </c>
      <c r="M3732" t="s">
        <v>2748</v>
      </c>
    </row>
    <row r="3733" spans="12:13" x14ac:dyDescent="0.25">
      <c r="L3733" s="65">
        <v>741412</v>
      </c>
      <c r="M3733" t="s">
        <v>2749</v>
      </c>
    </row>
    <row r="3734" spans="12:13" x14ac:dyDescent="0.25">
      <c r="L3734" s="65">
        <v>741413</v>
      </c>
      <c r="M3734" t="s">
        <v>2750</v>
      </c>
    </row>
    <row r="3735" spans="12:13" x14ac:dyDescent="0.25">
      <c r="L3735" s="65">
        <v>741414</v>
      </c>
      <c r="M3735" t="s">
        <v>2751</v>
      </c>
    </row>
    <row r="3736" spans="12:13" x14ac:dyDescent="0.25">
      <c r="L3736" s="65">
        <v>741500</v>
      </c>
      <c r="M3736" t="s">
        <v>2752</v>
      </c>
    </row>
    <row r="3737" spans="12:13" x14ac:dyDescent="0.25">
      <c r="L3737" s="65">
        <v>741510</v>
      </c>
      <c r="M3737" t="s">
        <v>2753</v>
      </c>
    </row>
    <row r="3738" spans="12:13" x14ac:dyDescent="0.25">
      <c r="L3738" s="65">
        <v>741511</v>
      </c>
      <c r="M3738" t="s">
        <v>2754</v>
      </c>
    </row>
    <row r="3739" spans="12:13" x14ac:dyDescent="0.25">
      <c r="L3739" s="65">
        <v>741512</v>
      </c>
      <c r="M3739" t="s">
        <v>2755</v>
      </c>
    </row>
    <row r="3740" spans="12:13" x14ac:dyDescent="0.25">
      <c r="L3740" s="65">
        <v>741513</v>
      </c>
      <c r="M3740" t="s">
        <v>2756</v>
      </c>
    </row>
    <row r="3741" spans="12:13" x14ac:dyDescent="0.25">
      <c r="L3741" s="65">
        <v>741514</v>
      </c>
      <c r="M3741" t="s">
        <v>2757</v>
      </c>
    </row>
    <row r="3742" spans="12:13" x14ac:dyDescent="0.25">
      <c r="L3742" s="65">
        <v>741515</v>
      </c>
      <c r="M3742" t="s">
        <v>2758</v>
      </c>
    </row>
    <row r="3743" spans="12:13" x14ac:dyDescent="0.25">
      <c r="L3743" s="65">
        <v>741516</v>
      </c>
      <c r="M3743" t="s">
        <v>2759</v>
      </c>
    </row>
    <row r="3744" spans="12:13" x14ac:dyDescent="0.25">
      <c r="L3744" s="65">
        <v>741517</v>
      </c>
      <c r="M3744" t="s">
        <v>2760</v>
      </c>
    </row>
    <row r="3745" spans="12:13" x14ac:dyDescent="0.25">
      <c r="L3745" s="65">
        <v>741520</v>
      </c>
      <c r="M3745" t="s">
        <v>2762</v>
      </c>
    </row>
    <row r="3746" spans="12:13" x14ac:dyDescent="0.25">
      <c r="L3746" s="65">
        <v>741521</v>
      </c>
      <c r="M3746" t="s">
        <v>2763</v>
      </c>
    </row>
    <row r="3747" spans="12:13" x14ac:dyDescent="0.25">
      <c r="L3747" s="65">
        <v>741522</v>
      </c>
      <c r="M3747" t="s">
        <v>2764</v>
      </c>
    </row>
    <row r="3748" spans="12:13" x14ac:dyDescent="0.25">
      <c r="L3748" s="65">
        <v>741523</v>
      </c>
      <c r="M3748" t="s">
        <v>2765</v>
      </c>
    </row>
    <row r="3749" spans="12:13" x14ac:dyDescent="0.25">
      <c r="L3749" s="65">
        <v>741524</v>
      </c>
      <c r="M3749" t="s">
        <v>2766</v>
      </c>
    </row>
    <row r="3750" spans="12:13" x14ac:dyDescent="0.25">
      <c r="L3750" s="65">
        <v>741525</v>
      </c>
      <c r="M3750" t="s">
        <v>2767</v>
      </c>
    </row>
    <row r="3751" spans="12:13" x14ac:dyDescent="0.25">
      <c r="L3751" s="65">
        <v>741526</v>
      </c>
      <c r="M3751" t="s">
        <v>2768</v>
      </c>
    </row>
    <row r="3752" spans="12:13" x14ac:dyDescent="0.25">
      <c r="L3752" s="65">
        <v>741527</v>
      </c>
      <c r="M3752" t="s">
        <v>2769</v>
      </c>
    </row>
    <row r="3753" spans="12:13" x14ac:dyDescent="0.25">
      <c r="L3753" s="65">
        <v>741528</v>
      </c>
      <c r="M3753" t="s">
        <v>2770</v>
      </c>
    </row>
    <row r="3754" spans="12:13" x14ac:dyDescent="0.25">
      <c r="L3754" s="65">
        <v>741529</v>
      </c>
      <c r="M3754" t="s">
        <v>2771</v>
      </c>
    </row>
    <row r="3755" spans="12:13" x14ac:dyDescent="0.25">
      <c r="L3755" s="65">
        <v>741530</v>
      </c>
      <c r="M3755" t="s">
        <v>2772</v>
      </c>
    </row>
    <row r="3756" spans="12:13" x14ac:dyDescent="0.25">
      <c r="L3756" s="65">
        <v>741531</v>
      </c>
      <c r="M3756" t="s">
        <v>2774</v>
      </c>
    </row>
    <row r="3757" spans="12:13" x14ac:dyDescent="0.25">
      <c r="L3757" s="65">
        <v>741532</v>
      </c>
      <c r="M3757" t="s">
        <v>2776</v>
      </c>
    </row>
    <row r="3758" spans="12:13" x14ac:dyDescent="0.25">
      <c r="L3758" s="65">
        <v>741533</v>
      </c>
      <c r="M3758" t="s">
        <v>2778</v>
      </c>
    </row>
    <row r="3759" spans="12:13" x14ac:dyDescent="0.25">
      <c r="L3759" s="65">
        <v>741534</v>
      </c>
      <c r="M3759" t="s">
        <v>2780</v>
      </c>
    </row>
    <row r="3760" spans="12:13" x14ac:dyDescent="0.25">
      <c r="L3760" s="65">
        <v>741535</v>
      </c>
      <c r="M3760" t="s">
        <v>2782</v>
      </c>
    </row>
    <row r="3761" spans="12:13" x14ac:dyDescent="0.25">
      <c r="L3761" s="65">
        <v>741536</v>
      </c>
      <c r="M3761" t="s">
        <v>2783</v>
      </c>
    </row>
    <row r="3762" spans="12:13" x14ac:dyDescent="0.25">
      <c r="L3762" s="65">
        <v>741537</v>
      </c>
      <c r="M3762" t="s">
        <v>2784</v>
      </c>
    </row>
    <row r="3763" spans="12:13" x14ac:dyDescent="0.25">
      <c r="L3763" s="65">
        <v>741540</v>
      </c>
      <c r="M3763" t="s">
        <v>2785</v>
      </c>
    </row>
    <row r="3764" spans="12:13" x14ac:dyDescent="0.25">
      <c r="L3764" s="65">
        <v>741541</v>
      </c>
      <c r="M3764" t="s">
        <v>2786</v>
      </c>
    </row>
    <row r="3765" spans="12:13" x14ac:dyDescent="0.25">
      <c r="L3765" s="65">
        <v>741542</v>
      </c>
      <c r="M3765" t="s">
        <v>2788</v>
      </c>
    </row>
    <row r="3766" spans="12:13" x14ac:dyDescent="0.25">
      <c r="L3766" s="65">
        <v>741543</v>
      </c>
      <c r="M3766" t="s">
        <v>2789</v>
      </c>
    </row>
    <row r="3767" spans="12:13" x14ac:dyDescent="0.25">
      <c r="L3767" s="65">
        <v>741550</v>
      </c>
      <c r="M3767" t="s">
        <v>2790</v>
      </c>
    </row>
    <row r="3768" spans="12:13" x14ac:dyDescent="0.25">
      <c r="L3768" s="65">
        <v>741551</v>
      </c>
      <c r="M3768" t="s">
        <v>2790</v>
      </c>
    </row>
    <row r="3769" spans="12:13" x14ac:dyDescent="0.25">
      <c r="L3769" s="65">
        <v>741560</v>
      </c>
      <c r="M3769" t="s">
        <v>2792</v>
      </c>
    </row>
    <row r="3770" spans="12:13" x14ac:dyDescent="0.25">
      <c r="L3770" s="65">
        <v>741561</v>
      </c>
      <c r="M3770" t="s">
        <v>2793</v>
      </c>
    </row>
    <row r="3771" spans="12:13" x14ac:dyDescent="0.25">
      <c r="L3771" s="65">
        <v>741562</v>
      </c>
      <c r="M3771" t="s">
        <v>2794</v>
      </c>
    </row>
    <row r="3772" spans="12:13" x14ac:dyDescent="0.25">
      <c r="L3772" s="65">
        <v>741563</v>
      </c>
      <c r="M3772" t="s">
        <v>2795</v>
      </c>
    </row>
    <row r="3773" spans="12:13" x14ac:dyDescent="0.25">
      <c r="L3773" s="65">
        <v>741564</v>
      </c>
      <c r="M3773" t="s">
        <v>2796</v>
      </c>
    </row>
    <row r="3774" spans="12:13" x14ac:dyDescent="0.25">
      <c r="L3774" s="65">
        <v>741565</v>
      </c>
      <c r="M3774" t="s">
        <v>2797</v>
      </c>
    </row>
    <row r="3775" spans="12:13" x14ac:dyDescent="0.25">
      <c r="L3775" s="65">
        <v>741566</v>
      </c>
      <c r="M3775" t="s">
        <v>2798</v>
      </c>
    </row>
    <row r="3776" spans="12:13" x14ac:dyDescent="0.25">
      <c r="L3776" s="65">
        <v>741567</v>
      </c>
      <c r="M3776" t="s">
        <v>2799</v>
      </c>
    </row>
    <row r="3777" spans="12:13" x14ac:dyDescent="0.25">
      <c r="L3777" s="65">
        <v>741568</v>
      </c>
      <c r="M3777" t="s">
        <v>2800</v>
      </c>
    </row>
    <row r="3778" spans="12:13" x14ac:dyDescent="0.25">
      <c r="L3778" s="65">
        <v>741569</v>
      </c>
      <c r="M3778" t="s">
        <v>2801</v>
      </c>
    </row>
    <row r="3779" spans="12:13" x14ac:dyDescent="0.25">
      <c r="L3779" s="65">
        <v>741570</v>
      </c>
      <c r="M3779" t="s">
        <v>2802</v>
      </c>
    </row>
    <row r="3780" spans="12:13" x14ac:dyDescent="0.25">
      <c r="L3780" s="65">
        <v>741571</v>
      </c>
      <c r="M3780" t="s">
        <v>2802</v>
      </c>
    </row>
    <row r="3781" spans="12:13" x14ac:dyDescent="0.25">
      <c r="L3781" s="65">
        <v>741572</v>
      </c>
      <c r="M3781" t="s">
        <v>2803</v>
      </c>
    </row>
    <row r="3782" spans="12:13" x14ac:dyDescent="0.25">
      <c r="L3782" s="65">
        <v>741580</v>
      </c>
      <c r="M3782" t="s">
        <v>2804</v>
      </c>
    </row>
    <row r="3783" spans="12:13" x14ac:dyDescent="0.25">
      <c r="L3783" s="65">
        <v>741581</v>
      </c>
      <c r="M3783" t="s">
        <v>2805</v>
      </c>
    </row>
    <row r="3784" spans="12:13" x14ac:dyDescent="0.25">
      <c r="L3784" s="65">
        <v>741582</v>
      </c>
      <c r="M3784" t="s">
        <v>2806</v>
      </c>
    </row>
    <row r="3785" spans="12:13" x14ac:dyDescent="0.25">
      <c r="L3785" s="65">
        <v>741583</v>
      </c>
      <c r="M3785" t="s">
        <v>2807</v>
      </c>
    </row>
    <row r="3786" spans="12:13" x14ac:dyDescent="0.25">
      <c r="L3786" s="65">
        <v>741590</v>
      </c>
      <c r="M3786" t="s">
        <v>2808</v>
      </c>
    </row>
    <row r="3787" spans="12:13" x14ac:dyDescent="0.25">
      <c r="L3787" s="65">
        <v>741591</v>
      </c>
      <c r="M3787" t="s">
        <v>2809</v>
      </c>
    </row>
    <row r="3788" spans="12:13" x14ac:dyDescent="0.25">
      <c r="L3788" s="65">
        <v>741592</v>
      </c>
      <c r="M3788" t="s">
        <v>2810</v>
      </c>
    </row>
    <row r="3789" spans="12:13" x14ac:dyDescent="0.25">
      <c r="L3789" s="65">
        <v>741593</v>
      </c>
      <c r="M3789" t="s">
        <v>2811</v>
      </c>
    </row>
    <row r="3790" spans="12:13" x14ac:dyDescent="0.25">
      <c r="L3790" s="65">
        <v>741594</v>
      </c>
      <c r="M3790" t="s">
        <v>2812</v>
      </c>
    </row>
    <row r="3791" spans="12:13" x14ac:dyDescent="0.25">
      <c r="L3791" s="65">
        <v>741595</v>
      </c>
      <c r="M3791" t="s">
        <v>2813</v>
      </c>
    </row>
    <row r="3792" spans="12:13" x14ac:dyDescent="0.25">
      <c r="L3792" s="65">
        <v>741600</v>
      </c>
      <c r="M3792" t="s">
        <v>1659</v>
      </c>
    </row>
    <row r="3793" spans="12:13" x14ac:dyDescent="0.25">
      <c r="L3793" s="65">
        <v>741610</v>
      </c>
      <c r="M3793" t="s">
        <v>1659</v>
      </c>
    </row>
    <row r="3794" spans="12:13" x14ac:dyDescent="0.25">
      <c r="L3794" s="65">
        <v>741611</v>
      </c>
      <c r="M3794" t="s">
        <v>1659</v>
      </c>
    </row>
    <row r="3795" spans="12:13" x14ac:dyDescent="0.25">
      <c r="L3795" s="65">
        <v>742000</v>
      </c>
      <c r="M3795" t="s">
        <v>2815</v>
      </c>
    </row>
    <row r="3796" spans="12:13" x14ac:dyDescent="0.25">
      <c r="L3796" s="65">
        <v>742100</v>
      </c>
      <c r="M3796" t="s">
        <v>2816</v>
      </c>
    </row>
    <row r="3797" spans="12:13" x14ac:dyDescent="0.25">
      <c r="L3797" s="65">
        <v>742120</v>
      </c>
      <c r="M3797" t="s">
        <v>2817</v>
      </c>
    </row>
    <row r="3798" spans="12:13" x14ac:dyDescent="0.25">
      <c r="L3798" s="65">
        <v>742121</v>
      </c>
      <c r="M3798" t="s">
        <v>2818</v>
      </c>
    </row>
    <row r="3799" spans="12:13" x14ac:dyDescent="0.25">
      <c r="L3799" s="65">
        <v>742122</v>
      </c>
      <c r="M3799" t="s">
        <v>2819</v>
      </c>
    </row>
    <row r="3800" spans="12:13" x14ac:dyDescent="0.25">
      <c r="L3800" s="65">
        <v>742123</v>
      </c>
      <c r="M3800" t="s">
        <v>2820</v>
      </c>
    </row>
    <row r="3801" spans="12:13" x14ac:dyDescent="0.25">
      <c r="L3801" s="65">
        <v>742124</v>
      </c>
      <c r="M3801" t="s">
        <v>2821</v>
      </c>
    </row>
    <row r="3802" spans="12:13" x14ac:dyDescent="0.25">
      <c r="L3802" s="65">
        <v>742125</v>
      </c>
      <c r="M3802" t="s">
        <v>2822</v>
      </c>
    </row>
    <row r="3803" spans="12:13" x14ac:dyDescent="0.25">
      <c r="L3803" s="65">
        <v>742126</v>
      </c>
      <c r="M3803" t="s">
        <v>2823</v>
      </c>
    </row>
    <row r="3804" spans="12:13" x14ac:dyDescent="0.25">
      <c r="L3804" s="65">
        <v>742127</v>
      </c>
      <c r="M3804" t="s">
        <v>2824</v>
      </c>
    </row>
    <row r="3805" spans="12:13" x14ac:dyDescent="0.25">
      <c r="L3805" s="65">
        <v>742128</v>
      </c>
      <c r="M3805" t="s">
        <v>2825</v>
      </c>
    </row>
    <row r="3806" spans="12:13" x14ac:dyDescent="0.25">
      <c r="L3806" s="65">
        <v>742129</v>
      </c>
      <c r="M3806" t="s">
        <v>2826</v>
      </c>
    </row>
    <row r="3807" spans="12:13" x14ac:dyDescent="0.25">
      <c r="L3807" s="65">
        <v>742130</v>
      </c>
      <c r="M3807" t="s">
        <v>2827</v>
      </c>
    </row>
    <row r="3808" spans="12:13" x14ac:dyDescent="0.25">
      <c r="L3808" s="65">
        <v>742131</v>
      </c>
      <c r="M3808" t="s">
        <v>2828</v>
      </c>
    </row>
    <row r="3809" spans="12:13" x14ac:dyDescent="0.25">
      <c r="L3809" s="65">
        <v>742132</v>
      </c>
      <c r="M3809" t="s">
        <v>2829</v>
      </c>
    </row>
    <row r="3810" spans="12:13" x14ac:dyDescent="0.25">
      <c r="L3810" s="65">
        <v>742133</v>
      </c>
      <c r="M3810" t="s">
        <v>2830</v>
      </c>
    </row>
    <row r="3811" spans="12:13" x14ac:dyDescent="0.25">
      <c r="L3811" s="65">
        <v>742134</v>
      </c>
      <c r="M3811" t="s">
        <v>2831</v>
      </c>
    </row>
    <row r="3812" spans="12:13" x14ac:dyDescent="0.25">
      <c r="L3812" s="65">
        <v>742135</v>
      </c>
      <c r="M3812" t="s">
        <v>2832</v>
      </c>
    </row>
    <row r="3813" spans="12:13" x14ac:dyDescent="0.25">
      <c r="L3813" s="65">
        <v>742136</v>
      </c>
      <c r="M3813" t="s">
        <v>2833</v>
      </c>
    </row>
    <row r="3814" spans="12:13" x14ac:dyDescent="0.25">
      <c r="L3814" s="65">
        <v>742140</v>
      </c>
      <c r="M3814" t="s">
        <v>2834</v>
      </c>
    </row>
    <row r="3815" spans="12:13" x14ac:dyDescent="0.25">
      <c r="L3815" s="65">
        <v>742141</v>
      </c>
      <c r="M3815" t="s">
        <v>2834</v>
      </c>
    </row>
    <row r="3816" spans="12:13" x14ac:dyDescent="0.25">
      <c r="L3816" s="65">
        <v>742142</v>
      </c>
      <c r="M3816" t="s">
        <v>2835</v>
      </c>
    </row>
    <row r="3817" spans="12:13" x14ac:dyDescent="0.25">
      <c r="L3817" s="65">
        <v>742143</v>
      </c>
      <c r="M3817" t="s">
        <v>2837</v>
      </c>
    </row>
    <row r="3818" spans="12:13" x14ac:dyDescent="0.25">
      <c r="L3818" s="65">
        <v>742144</v>
      </c>
      <c r="M3818" t="s">
        <v>2838</v>
      </c>
    </row>
    <row r="3819" spans="12:13" x14ac:dyDescent="0.25">
      <c r="L3819" s="65">
        <v>742145</v>
      </c>
      <c r="M3819" t="s">
        <v>2839</v>
      </c>
    </row>
    <row r="3820" spans="12:13" x14ac:dyDescent="0.25">
      <c r="L3820" s="65">
        <v>742150</v>
      </c>
      <c r="M3820" t="s">
        <v>2840</v>
      </c>
    </row>
    <row r="3821" spans="12:13" x14ac:dyDescent="0.25">
      <c r="L3821" s="65">
        <v>742151</v>
      </c>
      <c r="M3821" t="s">
        <v>2841</v>
      </c>
    </row>
    <row r="3822" spans="12:13" x14ac:dyDescent="0.25">
      <c r="L3822" s="65">
        <v>742152</v>
      </c>
      <c r="M3822" t="s">
        <v>2842</v>
      </c>
    </row>
    <row r="3823" spans="12:13" x14ac:dyDescent="0.25">
      <c r="L3823" s="65">
        <v>742153</v>
      </c>
      <c r="M3823" t="s">
        <v>2843</v>
      </c>
    </row>
    <row r="3824" spans="12:13" x14ac:dyDescent="0.25">
      <c r="L3824" s="65">
        <v>742154</v>
      </c>
      <c r="M3824" t="s">
        <v>2844</v>
      </c>
    </row>
    <row r="3825" spans="12:13" x14ac:dyDescent="0.25">
      <c r="L3825" s="65">
        <v>742155</v>
      </c>
      <c r="M3825" t="s">
        <v>2845</v>
      </c>
    </row>
    <row r="3826" spans="12:13" x14ac:dyDescent="0.25">
      <c r="L3826" s="65">
        <v>742160</v>
      </c>
      <c r="M3826" t="s">
        <v>2846</v>
      </c>
    </row>
    <row r="3827" spans="12:13" x14ac:dyDescent="0.25">
      <c r="L3827" s="65">
        <v>742161</v>
      </c>
      <c r="M3827" t="s">
        <v>2847</v>
      </c>
    </row>
    <row r="3828" spans="12:13" x14ac:dyDescent="0.25">
      <c r="L3828" s="65">
        <v>742162</v>
      </c>
      <c r="M3828" t="s">
        <v>2848</v>
      </c>
    </row>
    <row r="3829" spans="12:13" x14ac:dyDescent="0.25">
      <c r="L3829" s="65">
        <v>742165</v>
      </c>
      <c r="M3829" t="s">
        <v>2849</v>
      </c>
    </row>
    <row r="3830" spans="12:13" x14ac:dyDescent="0.25">
      <c r="L3830" s="65">
        <v>742200</v>
      </c>
      <c r="M3830" t="s">
        <v>2850</v>
      </c>
    </row>
    <row r="3831" spans="12:13" x14ac:dyDescent="0.25">
      <c r="L3831" s="65">
        <v>742210</v>
      </c>
      <c r="M3831" t="s">
        <v>2851</v>
      </c>
    </row>
    <row r="3832" spans="12:13" x14ac:dyDescent="0.25">
      <c r="L3832" s="65">
        <v>742213</v>
      </c>
      <c r="M3832" t="s">
        <v>2851</v>
      </c>
    </row>
    <row r="3833" spans="12:13" x14ac:dyDescent="0.25">
      <c r="L3833" s="65">
        <v>742220</v>
      </c>
      <c r="M3833" t="s">
        <v>2852</v>
      </c>
    </row>
    <row r="3834" spans="12:13" x14ac:dyDescent="0.25">
      <c r="L3834" s="65">
        <v>742221</v>
      </c>
      <c r="M3834" t="s">
        <v>2853</v>
      </c>
    </row>
    <row r="3835" spans="12:13" x14ac:dyDescent="0.25">
      <c r="L3835" s="65">
        <v>742222</v>
      </c>
      <c r="M3835" t="s">
        <v>2854</v>
      </c>
    </row>
    <row r="3836" spans="12:13" x14ac:dyDescent="0.25">
      <c r="L3836" s="65">
        <v>742223</v>
      </c>
      <c r="M3836" t="s">
        <v>2855</v>
      </c>
    </row>
    <row r="3837" spans="12:13" x14ac:dyDescent="0.25">
      <c r="L3837" s="65">
        <v>742224</v>
      </c>
      <c r="M3837" t="s">
        <v>2856</v>
      </c>
    </row>
    <row r="3838" spans="12:13" x14ac:dyDescent="0.25">
      <c r="L3838" s="65">
        <v>742225</v>
      </c>
      <c r="M3838" t="s">
        <v>2857</v>
      </c>
    </row>
    <row r="3839" spans="12:13" x14ac:dyDescent="0.25">
      <c r="L3839" s="65">
        <v>742226</v>
      </c>
      <c r="M3839" t="s">
        <v>2858</v>
      </c>
    </row>
    <row r="3840" spans="12:13" x14ac:dyDescent="0.25">
      <c r="L3840" s="65">
        <v>742227</v>
      </c>
      <c r="M3840" t="s">
        <v>2859</v>
      </c>
    </row>
    <row r="3841" spans="12:13" x14ac:dyDescent="0.25">
      <c r="L3841" s="65">
        <v>742228</v>
      </c>
      <c r="M3841" t="s">
        <v>2860</v>
      </c>
    </row>
    <row r="3842" spans="12:13" x14ac:dyDescent="0.25">
      <c r="L3842" s="65">
        <v>742229</v>
      </c>
      <c r="M3842" t="s">
        <v>2861</v>
      </c>
    </row>
    <row r="3843" spans="12:13" x14ac:dyDescent="0.25">
      <c r="L3843" s="65">
        <v>742230</v>
      </c>
      <c r="M3843" t="s">
        <v>2862</v>
      </c>
    </row>
    <row r="3844" spans="12:13" x14ac:dyDescent="0.25">
      <c r="L3844" s="65">
        <v>742231</v>
      </c>
      <c r="M3844" t="s">
        <v>2863</v>
      </c>
    </row>
    <row r="3845" spans="12:13" x14ac:dyDescent="0.25">
      <c r="L3845" s="65">
        <v>742232</v>
      </c>
      <c r="M3845" t="s">
        <v>2864</v>
      </c>
    </row>
    <row r="3846" spans="12:13" x14ac:dyDescent="0.25">
      <c r="L3846" s="65">
        <v>742240</v>
      </c>
      <c r="M3846" t="s">
        <v>2865</v>
      </c>
    </row>
    <row r="3847" spans="12:13" x14ac:dyDescent="0.25">
      <c r="L3847" s="65">
        <v>742241</v>
      </c>
      <c r="M3847" t="s">
        <v>2866</v>
      </c>
    </row>
    <row r="3848" spans="12:13" x14ac:dyDescent="0.25">
      <c r="L3848" s="65">
        <v>742250</v>
      </c>
      <c r="M3848" t="s">
        <v>2867</v>
      </c>
    </row>
    <row r="3849" spans="12:13" x14ac:dyDescent="0.25">
      <c r="L3849" s="65">
        <v>742251</v>
      </c>
      <c r="M3849" t="s">
        <v>2868</v>
      </c>
    </row>
    <row r="3850" spans="12:13" x14ac:dyDescent="0.25">
      <c r="L3850" s="65">
        <v>742252</v>
      </c>
      <c r="M3850" t="s">
        <v>2869</v>
      </c>
    </row>
    <row r="3851" spans="12:13" x14ac:dyDescent="0.25">
      <c r="L3851" s="65">
        <v>742253</v>
      </c>
      <c r="M3851" t="s">
        <v>2870</v>
      </c>
    </row>
    <row r="3852" spans="12:13" x14ac:dyDescent="0.25">
      <c r="L3852" s="65">
        <v>742254</v>
      </c>
      <c r="M3852" t="s">
        <v>2871</v>
      </c>
    </row>
    <row r="3853" spans="12:13" x14ac:dyDescent="0.25">
      <c r="L3853" s="65">
        <v>742260</v>
      </c>
      <c r="M3853" t="s">
        <v>2872</v>
      </c>
    </row>
    <row r="3854" spans="12:13" x14ac:dyDescent="0.25">
      <c r="L3854" s="65">
        <v>742261</v>
      </c>
      <c r="M3854" t="s">
        <v>2873</v>
      </c>
    </row>
    <row r="3855" spans="12:13" x14ac:dyDescent="0.25">
      <c r="L3855" s="65">
        <v>742262</v>
      </c>
      <c r="M3855" t="s">
        <v>2874</v>
      </c>
    </row>
    <row r="3856" spans="12:13" x14ac:dyDescent="0.25">
      <c r="L3856" s="65">
        <v>742265</v>
      </c>
      <c r="M3856" t="s">
        <v>2875</v>
      </c>
    </row>
    <row r="3857" spans="12:13" x14ac:dyDescent="0.25">
      <c r="L3857" s="65">
        <v>742270</v>
      </c>
      <c r="M3857" t="s">
        <v>2876</v>
      </c>
    </row>
    <row r="3858" spans="12:13" x14ac:dyDescent="0.25">
      <c r="L3858" s="65">
        <v>742271</v>
      </c>
      <c r="M3858" t="s">
        <v>2877</v>
      </c>
    </row>
    <row r="3859" spans="12:13" x14ac:dyDescent="0.25">
      <c r="L3859" s="65">
        <v>742272</v>
      </c>
      <c r="M3859" t="s">
        <v>2878</v>
      </c>
    </row>
    <row r="3860" spans="12:13" x14ac:dyDescent="0.25">
      <c r="L3860" s="65">
        <v>742280</v>
      </c>
      <c r="M3860" t="s">
        <v>2879</v>
      </c>
    </row>
    <row r="3861" spans="12:13" x14ac:dyDescent="0.25">
      <c r="L3861" s="65">
        <v>742281</v>
      </c>
      <c r="M3861" t="s">
        <v>2880</v>
      </c>
    </row>
    <row r="3862" spans="12:13" x14ac:dyDescent="0.25">
      <c r="L3862" s="65">
        <v>742282</v>
      </c>
      <c r="M3862" t="s">
        <v>2881</v>
      </c>
    </row>
    <row r="3863" spans="12:13" x14ac:dyDescent="0.25">
      <c r="L3863" s="65">
        <v>742283</v>
      </c>
      <c r="M3863" t="s">
        <v>2882</v>
      </c>
    </row>
    <row r="3864" spans="12:13" x14ac:dyDescent="0.25">
      <c r="L3864" s="65">
        <v>742284</v>
      </c>
      <c r="M3864" t="s">
        <v>2883</v>
      </c>
    </row>
    <row r="3865" spans="12:13" x14ac:dyDescent="0.25">
      <c r="L3865" s="65">
        <v>742285</v>
      </c>
      <c r="M3865" t="s">
        <v>2884</v>
      </c>
    </row>
    <row r="3866" spans="12:13" x14ac:dyDescent="0.25">
      <c r="L3866" s="65">
        <v>742286</v>
      </c>
      <c r="M3866" t="s">
        <v>2885</v>
      </c>
    </row>
    <row r="3867" spans="12:13" x14ac:dyDescent="0.25">
      <c r="L3867" s="65">
        <v>742287</v>
      </c>
      <c r="M3867" t="s">
        <v>2886</v>
      </c>
    </row>
    <row r="3868" spans="12:13" x14ac:dyDescent="0.25">
      <c r="L3868" s="65">
        <v>742288</v>
      </c>
      <c r="M3868" t="s">
        <v>2887</v>
      </c>
    </row>
    <row r="3869" spans="12:13" x14ac:dyDescent="0.25">
      <c r="L3869" s="65">
        <v>742289</v>
      </c>
      <c r="M3869" t="s">
        <v>2888</v>
      </c>
    </row>
    <row r="3870" spans="12:13" x14ac:dyDescent="0.25">
      <c r="L3870" s="65">
        <v>742290</v>
      </c>
      <c r="M3870" t="s">
        <v>2889</v>
      </c>
    </row>
    <row r="3871" spans="12:13" x14ac:dyDescent="0.25">
      <c r="L3871" s="65">
        <v>742291</v>
      </c>
      <c r="M3871" t="s">
        <v>2890</v>
      </c>
    </row>
    <row r="3872" spans="12:13" x14ac:dyDescent="0.25">
      <c r="L3872" s="65">
        <v>742292</v>
      </c>
      <c r="M3872" t="s">
        <v>2891</v>
      </c>
    </row>
    <row r="3873" spans="12:13" x14ac:dyDescent="0.25">
      <c r="L3873" s="65">
        <v>742300</v>
      </c>
      <c r="M3873" t="s">
        <v>2892</v>
      </c>
    </row>
    <row r="3874" spans="12:13" x14ac:dyDescent="0.25">
      <c r="L3874" s="65">
        <v>742310</v>
      </c>
      <c r="M3874" t="s">
        <v>2893</v>
      </c>
    </row>
    <row r="3875" spans="12:13" x14ac:dyDescent="0.25">
      <c r="L3875" s="65">
        <v>742312</v>
      </c>
      <c r="M3875" t="s">
        <v>2894</v>
      </c>
    </row>
    <row r="3876" spans="12:13" x14ac:dyDescent="0.25">
      <c r="L3876" s="65">
        <v>742320</v>
      </c>
      <c r="M3876" t="s">
        <v>2895</v>
      </c>
    </row>
    <row r="3877" spans="12:13" x14ac:dyDescent="0.25">
      <c r="L3877" s="65">
        <v>742321</v>
      </c>
      <c r="M3877" t="s">
        <v>2896</v>
      </c>
    </row>
    <row r="3878" spans="12:13" x14ac:dyDescent="0.25">
      <c r="L3878" s="65">
        <v>742322</v>
      </c>
      <c r="M3878" t="s">
        <v>2897</v>
      </c>
    </row>
    <row r="3879" spans="12:13" x14ac:dyDescent="0.25">
      <c r="L3879" s="65">
        <v>742323</v>
      </c>
      <c r="M3879" t="s">
        <v>2898</v>
      </c>
    </row>
    <row r="3880" spans="12:13" x14ac:dyDescent="0.25">
      <c r="L3880" s="65">
        <v>742324</v>
      </c>
      <c r="M3880" t="s">
        <v>2899</v>
      </c>
    </row>
    <row r="3881" spans="12:13" x14ac:dyDescent="0.25">
      <c r="L3881" s="65">
        <v>742325</v>
      </c>
      <c r="M3881" t="s">
        <v>2900</v>
      </c>
    </row>
    <row r="3882" spans="12:13" x14ac:dyDescent="0.25">
      <c r="L3882" s="65">
        <v>742326</v>
      </c>
      <c r="M3882" t="s">
        <v>2901</v>
      </c>
    </row>
    <row r="3883" spans="12:13" x14ac:dyDescent="0.25">
      <c r="L3883" s="65">
        <v>742327</v>
      </c>
      <c r="M3883" t="s">
        <v>2902</v>
      </c>
    </row>
    <row r="3884" spans="12:13" x14ac:dyDescent="0.25">
      <c r="L3884" s="65">
        <v>742328</v>
      </c>
      <c r="M3884" t="s">
        <v>2903</v>
      </c>
    </row>
    <row r="3885" spans="12:13" x14ac:dyDescent="0.25">
      <c r="L3885" s="65">
        <v>742329</v>
      </c>
      <c r="M3885" t="s">
        <v>2904</v>
      </c>
    </row>
    <row r="3886" spans="12:13" x14ac:dyDescent="0.25">
      <c r="L3886" s="65">
        <v>742330</v>
      </c>
      <c r="M3886" t="s">
        <v>2905</v>
      </c>
    </row>
    <row r="3887" spans="12:13" x14ac:dyDescent="0.25">
      <c r="L3887" s="65">
        <v>742331</v>
      </c>
      <c r="M3887" t="s">
        <v>2906</v>
      </c>
    </row>
    <row r="3888" spans="12:13" x14ac:dyDescent="0.25">
      <c r="L3888" s="65">
        <v>742332</v>
      </c>
      <c r="M3888" t="s">
        <v>2907</v>
      </c>
    </row>
    <row r="3889" spans="12:13" x14ac:dyDescent="0.25">
      <c r="L3889" s="65">
        <v>742340</v>
      </c>
      <c r="M3889" t="s">
        <v>2908</v>
      </c>
    </row>
    <row r="3890" spans="12:13" x14ac:dyDescent="0.25">
      <c r="L3890" s="65">
        <v>742341</v>
      </c>
      <c r="M3890" t="s">
        <v>2909</v>
      </c>
    </row>
    <row r="3891" spans="12:13" x14ac:dyDescent="0.25">
      <c r="L3891" s="65">
        <v>742350</v>
      </c>
      <c r="M3891" t="s">
        <v>2910</v>
      </c>
    </row>
    <row r="3892" spans="12:13" x14ac:dyDescent="0.25">
      <c r="L3892" s="65">
        <v>742351</v>
      </c>
      <c r="M3892" t="s">
        <v>2911</v>
      </c>
    </row>
    <row r="3893" spans="12:13" x14ac:dyDescent="0.25">
      <c r="L3893" s="65">
        <v>742360</v>
      </c>
      <c r="M3893" t="s">
        <v>2912</v>
      </c>
    </row>
    <row r="3894" spans="12:13" x14ac:dyDescent="0.25">
      <c r="L3894" s="65">
        <v>742361</v>
      </c>
      <c r="M3894" t="s">
        <v>2912</v>
      </c>
    </row>
    <row r="3895" spans="12:13" x14ac:dyDescent="0.25">
      <c r="L3895" s="65">
        <v>742370</v>
      </c>
      <c r="M3895" t="s">
        <v>2913</v>
      </c>
    </row>
    <row r="3896" spans="12:13" x14ac:dyDescent="0.25">
      <c r="L3896" s="65">
        <v>742371</v>
      </c>
      <c r="M3896" t="s">
        <v>2914</v>
      </c>
    </row>
    <row r="3897" spans="12:13" x14ac:dyDescent="0.25">
      <c r="L3897" s="65">
        <v>742372</v>
      </c>
      <c r="M3897" t="s">
        <v>2915</v>
      </c>
    </row>
    <row r="3898" spans="12:13" x14ac:dyDescent="0.25">
      <c r="L3898" s="65">
        <v>742373</v>
      </c>
      <c r="M3898" t="s">
        <v>2916</v>
      </c>
    </row>
    <row r="3899" spans="12:13" x14ac:dyDescent="0.25">
      <c r="L3899" s="65">
        <v>742378</v>
      </c>
      <c r="M3899" t="s">
        <v>2917</v>
      </c>
    </row>
    <row r="3900" spans="12:13" x14ac:dyDescent="0.25">
      <c r="L3900" s="65">
        <v>742400</v>
      </c>
      <c r="M3900" t="s">
        <v>2918</v>
      </c>
    </row>
    <row r="3901" spans="12:13" x14ac:dyDescent="0.25">
      <c r="L3901" s="65">
        <v>742410</v>
      </c>
      <c r="M3901" t="s">
        <v>2918</v>
      </c>
    </row>
    <row r="3902" spans="12:13" x14ac:dyDescent="0.25">
      <c r="L3902" s="65">
        <v>742411</v>
      </c>
      <c r="M3902" t="s">
        <v>2918</v>
      </c>
    </row>
    <row r="3903" spans="12:13" x14ac:dyDescent="0.25">
      <c r="L3903" s="65">
        <v>743000</v>
      </c>
      <c r="M3903" t="s">
        <v>2920</v>
      </c>
    </row>
    <row r="3904" spans="12:13" x14ac:dyDescent="0.25">
      <c r="L3904" s="65">
        <v>743100</v>
      </c>
      <c r="M3904" t="s">
        <v>2921</v>
      </c>
    </row>
    <row r="3905" spans="12:13" x14ac:dyDescent="0.25">
      <c r="L3905" s="65">
        <v>743120</v>
      </c>
      <c r="M3905" t="s">
        <v>2922</v>
      </c>
    </row>
    <row r="3906" spans="12:13" x14ac:dyDescent="0.25">
      <c r="L3906" s="65">
        <v>743121</v>
      </c>
      <c r="M3906" t="s">
        <v>2921</v>
      </c>
    </row>
    <row r="3907" spans="12:13" x14ac:dyDescent="0.25">
      <c r="L3907" s="65">
        <v>743122</v>
      </c>
      <c r="M3907" t="s">
        <v>2923</v>
      </c>
    </row>
    <row r="3908" spans="12:13" x14ac:dyDescent="0.25">
      <c r="L3908" s="65">
        <v>743123</v>
      </c>
      <c r="M3908" t="s">
        <v>2924</v>
      </c>
    </row>
    <row r="3909" spans="12:13" x14ac:dyDescent="0.25">
      <c r="L3909" s="65">
        <v>743124</v>
      </c>
      <c r="M3909" t="s">
        <v>2925</v>
      </c>
    </row>
    <row r="3910" spans="12:13" x14ac:dyDescent="0.25">
      <c r="L3910" s="65">
        <v>743130</v>
      </c>
      <c r="M3910" t="s">
        <v>2926</v>
      </c>
    </row>
    <row r="3911" spans="12:13" x14ac:dyDescent="0.25">
      <c r="L3911" s="65">
        <v>743131</v>
      </c>
      <c r="M3911" t="s">
        <v>2926</v>
      </c>
    </row>
    <row r="3912" spans="12:13" x14ac:dyDescent="0.25">
      <c r="L3912" s="65">
        <v>743140</v>
      </c>
      <c r="M3912" t="s">
        <v>2927</v>
      </c>
    </row>
    <row r="3913" spans="12:13" x14ac:dyDescent="0.25">
      <c r="L3913" s="65">
        <v>743141</v>
      </c>
      <c r="M3913" t="s">
        <v>2927</v>
      </c>
    </row>
    <row r="3914" spans="12:13" x14ac:dyDescent="0.25">
      <c r="L3914" s="65">
        <v>743150</v>
      </c>
      <c r="M3914" t="s">
        <v>2928</v>
      </c>
    </row>
    <row r="3915" spans="12:13" x14ac:dyDescent="0.25">
      <c r="L3915" s="65">
        <v>743151</v>
      </c>
      <c r="M3915" t="s">
        <v>2928</v>
      </c>
    </row>
    <row r="3916" spans="12:13" x14ac:dyDescent="0.25">
      <c r="L3916" s="65">
        <v>743160</v>
      </c>
      <c r="M3916" t="s">
        <v>2929</v>
      </c>
    </row>
    <row r="3917" spans="12:13" x14ac:dyDescent="0.25">
      <c r="L3917" s="65">
        <v>743161</v>
      </c>
      <c r="M3917" t="s">
        <v>2929</v>
      </c>
    </row>
    <row r="3918" spans="12:13" x14ac:dyDescent="0.25">
      <c r="L3918" s="65">
        <v>743200</v>
      </c>
      <c r="M3918" t="s">
        <v>2930</v>
      </c>
    </row>
    <row r="3919" spans="12:13" x14ac:dyDescent="0.25">
      <c r="L3919" s="65">
        <v>743220</v>
      </c>
      <c r="M3919" t="s">
        <v>2931</v>
      </c>
    </row>
    <row r="3920" spans="12:13" x14ac:dyDescent="0.25">
      <c r="L3920" s="65">
        <v>743221</v>
      </c>
      <c r="M3920" t="s">
        <v>2930</v>
      </c>
    </row>
    <row r="3921" spans="12:13" x14ac:dyDescent="0.25">
      <c r="L3921" s="65">
        <v>743222</v>
      </c>
      <c r="M3921" t="s">
        <v>2932</v>
      </c>
    </row>
    <row r="3922" spans="12:13" x14ac:dyDescent="0.25">
      <c r="L3922" s="65">
        <v>743223</v>
      </c>
      <c r="M3922" t="s">
        <v>2933</v>
      </c>
    </row>
    <row r="3923" spans="12:13" x14ac:dyDescent="0.25">
      <c r="L3923" s="65">
        <v>743224</v>
      </c>
      <c r="M3923" t="s">
        <v>2934</v>
      </c>
    </row>
    <row r="3924" spans="12:13" x14ac:dyDescent="0.25">
      <c r="L3924" s="65">
        <v>743230</v>
      </c>
      <c r="M3924" t="s">
        <v>2935</v>
      </c>
    </row>
    <row r="3925" spans="12:13" x14ac:dyDescent="0.25">
      <c r="L3925" s="65">
        <v>743231</v>
      </c>
      <c r="M3925" t="s">
        <v>2935</v>
      </c>
    </row>
    <row r="3926" spans="12:13" x14ac:dyDescent="0.25">
      <c r="L3926" s="65">
        <v>743240</v>
      </c>
      <c r="M3926" t="s">
        <v>2936</v>
      </c>
    </row>
    <row r="3927" spans="12:13" x14ac:dyDescent="0.25">
      <c r="L3927" s="65">
        <v>743241</v>
      </c>
      <c r="M3927" t="s">
        <v>2936</v>
      </c>
    </row>
    <row r="3928" spans="12:13" x14ac:dyDescent="0.25">
      <c r="L3928" s="65">
        <v>743250</v>
      </c>
      <c r="M3928" t="s">
        <v>2937</v>
      </c>
    </row>
    <row r="3929" spans="12:13" x14ac:dyDescent="0.25">
      <c r="L3929" s="65">
        <v>743251</v>
      </c>
      <c r="M3929" t="s">
        <v>2937</v>
      </c>
    </row>
    <row r="3930" spans="12:13" x14ac:dyDescent="0.25">
      <c r="L3930" s="65">
        <v>743260</v>
      </c>
      <c r="M3930" t="s">
        <v>2938</v>
      </c>
    </row>
    <row r="3931" spans="12:13" x14ac:dyDescent="0.25">
      <c r="L3931" s="65">
        <v>743261</v>
      </c>
      <c r="M3931" t="s">
        <v>2938</v>
      </c>
    </row>
    <row r="3932" spans="12:13" x14ac:dyDescent="0.25">
      <c r="L3932" s="65">
        <v>743300</v>
      </c>
      <c r="M3932" t="s">
        <v>2939</v>
      </c>
    </row>
    <row r="3933" spans="12:13" x14ac:dyDescent="0.25">
      <c r="L3933" s="65">
        <v>743320</v>
      </c>
      <c r="M3933" t="s">
        <v>2940</v>
      </c>
    </row>
    <row r="3934" spans="12:13" x14ac:dyDescent="0.25">
      <c r="L3934" s="65">
        <v>743321</v>
      </c>
      <c r="M3934" t="s">
        <v>2939</v>
      </c>
    </row>
    <row r="3935" spans="12:13" x14ac:dyDescent="0.25">
      <c r="L3935" s="65">
        <v>743322</v>
      </c>
      <c r="M3935" t="s">
        <v>2941</v>
      </c>
    </row>
    <row r="3936" spans="12:13" x14ac:dyDescent="0.25">
      <c r="L3936" s="65">
        <v>743323</v>
      </c>
      <c r="M3936" t="s">
        <v>2942</v>
      </c>
    </row>
    <row r="3937" spans="12:13" x14ac:dyDescent="0.25">
      <c r="L3937" s="65">
        <v>743324</v>
      </c>
      <c r="M3937" t="s">
        <v>2944</v>
      </c>
    </row>
    <row r="3938" spans="12:13" x14ac:dyDescent="0.25">
      <c r="L3938" s="65">
        <v>743325</v>
      </c>
      <c r="M3938" t="s">
        <v>2945</v>
      </c>
    </row>
    <row r="3939" spans="12:13" x14ac:dyDescent="0.25">
      <c r="L3939" s="65">
        <v>743326</v>
      </c>
      <c r="M3939" t="s">
        <v>2946</v>
      </c>
    </row>
    <row r="3940" spans="12:13" x14ac:dyDescent="0.25">
      <c r="L3940" s="65">
        <v>743327</v>
      </c>
      <c r="M3940" t="s">
        <v>2947</v>
      </c>
    </row>
    <row r="3941" spans="12:13" x14ac:dyDescent="0.25">
      <c r="L3941" s="65">
        <v>743328</v>
      </c>
      <c r="M3941" t="s">
        <v>2948</v>
      </c>
    </row>
    <row r="3942" spans="12:13" x14ac:dyDescent="0.25">
      <c r="L3942" s="65">
        <v>743329</v>
      </c>
      <c r="M3942" t="s">
        <v>2949</v>
      </c>
    </row>
    <row r="3943" spans="12:13" x14ac:dyDescent="0.25">
      <c r="L3943" s="65">
        <v>743330</v>
      </c>
      <c r="M3943" t="s">
        <v>2950</v>
      </c>
    </row>
    <row r="3944" spans="12:13" x14ac:dyDescent="0.25">
      <c r="L3944" s="65">
        <v>743331</v>
      </c>
      <c r="M3944" t="s">
        <v>2951</v>
      </c>
    </row>
    <row r="3945" spans="12:13" x14ac:dyDescent="0.25">
      <c r="L3945" s="65">
        <v>743332</v>
      </c>
      <c r="M3945" t="s">
        <v>2952</v>
      </c>
    </row>
    <row r="3946" spans="12:13" x14ac:dyDescent="0.25">
      <c r="L3946" s="65">
        <v>743340</v>
      </c>
      <c r="M3946" t="s">
        <v>2954</v>
      </c>
    </row>
    <row r="3947" spans="12:13" x14ac:dyDescent="0.25">
      <c r="L3947" s="65">
        <v>743341</v>
      </c>
      <c r="M3947" t="s">
        <v>2955</v>
      </c>
    </row>
    <row r="3948" spans="12:13" x14ac:dyDescent="0.25">
      <c r="L3948" s="65">
        <v>743342</v>
      </c>
      <c r="M3948" t="s">
        <v>2956</v>
      </c>
    </row>
    <row r="3949" spans="12:13" x14ac:dyDescent="0.25">
      <c r="L3949" s="65">
        <v>743343</v>
      </c>
      <c r="M3949" t="s">
        <v>2957</v>
      </c>
    </row>
    <row r="3950" spans="12:13" x14ac:dyDescent="0.25">
      <c r="L3950" s="65">
        <v>743350</v>
      </c>
      <c r="M3950" t="s">
        <v>2958</v>
      </c>
    </row>
    <row r="3951" spans="12:13" x14ac:dyDescent="0.25">
      <c r="L3951" s="65">
        <v>743351</v>
      </c>
      <c r="M3951" t="s">
        <v>2959</v>
      </c>
    </row>
    <row r="3952" spans="12:13" x14ac:dyDescent="0.25">
      <c r="L3952" s="65">
        <v>743353</v>
      </c>
      <c r="M3952" t="s">
        <v>2960</v>
      </c>
    </row>
    <row r="3953" spans="12:13" x14ac:dyDescent="0.25">
      <c r="L3953" s="65">
        <v>743354</v>
      </c>
      <c r="M3953" t="s">
        <v>2961</v>
      </c>
    </row>
    <row r="3954" spans="12:13" x14ac:dyDescent="0.25">
      <c r="L3954" s="65">
        <v>743360</v>
      </c>
      <c r="M3954" t="s">
        <v>2962</v>
      </c>
    </row>
    <row r="3955" spans="12:13" x14ac:dyDescent="0.25">
      <c r="L3955" s="65">
        <v>743361</v>
      </c>
      <c r="M3955" t="s">
        <v>2962</v>
      </c>
    </row>
    <row r="3956" spans="12:13" x14ac:dyDescent="0.25">
      <c r="L3956" s="65">
        <v>743400</v>
      </c>
      <c r="M3956" t="s">
        <v>2963</v>
      </c>
    </row>
    <row r="3957" spans="12:13" x14ac:dyDescent="0.25">
      <c r="L3957" s="65">
        <v>743420</v>
      </c>
      <c r="M3957" t="s">
        <v>2964</v>
      </c>
    </row>
    <row r="3958" spans="12:13" x14ac:dyDescent="0.25">
      <c r="L3958" s="65">
        <v>743421</v>
      </c>
      <c r="M3958" t="s">
        <v>2964</v>
      </c>
    </row>
    <row r="3959" spans="12:13" x14ac:dyDescent="0.25">
      <c r="L3959" s="65">
        <v>743422</v>
      </c>
      <c r="M3959" t="s">
        <v>2965</v>
      </c>
    </row>
    <row r="3960" spans="12:13" x14ac:dyDescent="0.25">
      <c r="L3960" s="65">
        <v>743423</v>
      </c>
      <c r="M3960" t="s">
        <v>2966</v>
      </c>
    </row>
    <row r="3961" spans="12:13" x14ac:dyDescent="0.25">
      <c r="L3961" s="65">
        <v>743430</v>
      </c>
      <c r="M3961" t="s">
        <v>2967</v>
      </c>
    </row>
    <row r="3962" spans="12:13" x14ac:dyDescent="0.25">
      <c r="L3962" s="65">
        <v>743431</v>
      </c>
      <c r="M3962" t="s">
        <v>2967</v>
      </c>
    </row>
    <row r="3963" spans="12:13" x14ac:dyDescent="0.25">
      <c r="L3963" s="65">
        <v>743440</v>
      </c>
      <c r="M3963" t="s">
        <v>2968</v>
      </c>
    </row>
    <row r="3964" spans="12:13" x14ac:dyDescent="0.25">
      <c r="L3964" s="65">
        <v>743441</v>
      </c>
      <c r="M3964" t="s">
        <v>2968</v>
      </c>
    </row>
    <row r="3965" spans="12:13" x14ac:dyDescent="0.25">
      <c r="L3965" s="65">
        <v>743450</v>
      </c>
      <c r="M3965" t="s">
        <v>2969</v>
      </c>
    </row>
    <row r="3966" spans="12:13" x14ac:dyDescent="0.25">
      <c r="L3966" s="65">
        <v>743451</v>
      </c>
      <c r="M3966" t="s">
        <v>2969</v>
      </c>
    </row>
    <row r="3967" spans="12:13" x14ac:dyDescent="0.25">
      <c r="L3967" s="65">
        <v>743460</v>
      </c>
      <c r="M3967" t="s">
        <v>2970</v>
      </c>
    </row>
    <row r="3968" spans="12:13" x14ac:dyDescent="0.25">
      <c r="L3968" s="65">
        <v>743461</v>
      </c>
      <c r="M3968" t="s">
        <v>2970</v>
      </c>
    </row>
    <row r="3969" spans="12:13" x14ac:dyDescent="0.25">
      <c r="L3969" s="65">
        <v>743500</v>
      </c>
      <c r="M3969" t="s">
        <v>2971</v>
      </c>
    </row>
    <row r="3970" spans="12:13" x14ac:dyDescent="0.25">
      <c r="L3970" s="65">
        <v>743520</v>
      </c>
      <c r="M3970" t="s">
        <v>2972</v>
      </c>
    </row>
    <row r="3971" spans="12:13" x14ac:dyDescent="0.25">
      <c r="L3971" s="65">
        <v>743521</v>
      </c>
      <c r="M3971" t="s">
        <v>2973</v>
      </c>
    </row>
    <row r="3972" spans="12:13" x14ac:dyDescent="0.25">
      <c r="L3972" s="65">
        <v>743522</v>
      </c>
      <c r="M3972" t="s">
        <v>2974</v>
      </c>
    </row>
    <row r="3973" spans="12:13" x14ac:dyDescent="0.25">
      <c r="L3973" s="65">
        <v>743523</v>
      </c>
      <c r="M3973" t="s">
        <v>2975</v>
      </c>
    </row>
    <row r="3974" spans="12:13" x14ac:dyDescent="0.25">
      <c r="L3974" s="65">
        <v>743524</v>
      </c>
      <c r="M3974" t="s">
        <v>2976</v>
      </c>
    </row>
    <row r="3975" spans="12:13" x14ac:dyDescent="0.25">
      <c r="L3975" s="65">
        <v>743525</v>
      </c>
      <c r="M3975" t="s">
        <v>2977</v>
      </c>
    </row>
    <row r="3976" spans="12:13" x14ac:dyDescent="0.25">
      <c r="L3976" s="65">
        <v>743526</v>
      </c>
      <c r="M3976" t="s">
        <v>2978</v>
      </c>
    </row>
    <row r="3977" spans="12:13" x14ac:dyDescent="0.25">
      <c r="L3977" s="65">
        <v>743530</v>
      </c>
      <c r="M3977" t="s">
        <v>2979</v>
      </c>
    </row>
    <row r="3978" spans="12:13" x14ac:dyDescent="0.25">
      <c r="L3978" s="65">
        <v>743531</v>
      </c>
      <c r="M3978" t="s">
        <v>2979</v>
      </c>
    </row>
    <row r="3979" spans="12:13" x14ac:dyDescent="0.25">
      <c r="L3979" s="65">
        <v>743540</v>
      </c>
      <c r="M3979" t="s">
        <v>2980</v>
      </c>
    </row>
    <row r="3980" spans="12:13" x14ac:dyDescent="0.25">
      <c r="L3980" s="65">
        <v>743541</v>
      </c>
      <c r="M3980" t="s">
        <v>2980</v>
      </c>
    </row>
    <row r="3981" spans="12:13" x14ac:dyDescent="0.25">
      <c r="L3981" s="65">
        <v>743550</v>
      </c>
      <c r="M3981" t="s">
        <v>2981</v>
      </c>
    </row>
    <row r="3982" spans="12:13" x14ac:dyDescent="0.25">
      <c r="L3982" s="65">
        <v>743551</v>
      </c>
      <c r="M3982" t="s">
        <v>2981</v>
      </c>
    </row>
    <row r="3983" spans="12:13" x14ac:dyDescent="0.25">
      <c r="L3983" s="65">
        <v>743560</v>
      </c>
      <c r="M3983" t="s">
        <v>2982</v>
      </c>
    </row>
    <row r="3984" spans="12:13" x14ac:dyDescent="0.25">
      <c r="L3984" s="65">
        <v>743561</v>
      </c>
      <c r="M3984" t="s">
        <v>2982</v>
      </c>
    </row>
    <row r="3985" spans="12:13" x14ac:dyDescent="0.25">
      <c r="L3985" s="65">
        <v>743900</v>
      </c>
      <c r="M3985" t="s">
        <v>2983</v>
      </c>
    </row>
    <row r="3986" spans="12:13" x14ac:dyDescent="0.25">
      <c r="L3986" s="65">
        <v>743920</v>
      </c>
      <c r="M3986" t="s">
        <v>2984</v>
      </c>
    </row>
    <row r="3987" spans="12:13" x14ac:dyDescent="0.25">
      <c r="L3987" s="65">
        <v>743921</v>
      </c>
      <c r="M3987" t="s">
        <v>2985</v>
      </c>
    </row>
    <row r="3988" spans="12:13" x14ac:dyDescent="0.25">
      <c r="L3988" s="65">
        <v>743922</v>
      </c>
      <c r="M3988" t="s">
        <v>2986</v>
      </c>
    </row>
    <row r="3989" spans="12:13" x14ac:dyDescent="0.25">
      <c r="L3989" s="65">
        <v>743923</v>
      </c>
      <c r="M3989" t="s">
        <v>2987</v>
      </c>
    </row>
    <row r="3990" spans="12:13" x14ac:dyDescent="0.25">
      <c r="L3990" s="65">
        <v>743929</v>
      </c>
      <c r="M3990" t="s">
        <v>2984</v>
      </c>
    </row>
    <row r="3991" spans="12:13" x14ac:dyDescent="0.25">
      <c r="L3991" s="65">
        <v>743930</v>
      </c>
      <c r="M3991" t="s">
        <v>2988</v>
      </c>
    </row>
    <row r="3992" spans="12:13" x14ac:dyDescent="0.25">
      <c r="L3992" s="65">
        <v>743931</v>
      </c>
      <c r="M3992" t="s">
        <v>2988</v>
      </c>
    </row>
    <row r="3993" spans="12:13" x14ac:dyDescent="0.25">
      <c r="L3993" s="65">
        <v>743940</v>
      </c>
      <c r="M3993" t="s">
        <v>2989</v>
      </c>
    </row>
    <row r="3994" spans="12:13" x14ac:dyDescent="0.25">
      <c r="L3994" s="65">
        <v>743941</v>
      </c>
      <c r="M3994" t="s">
        <v>2989</v>
      </c>
    </row>
    <row r="3995" spans="12:13" x14ac:dyDescent="0.25">
      <c r="L3995" s="65">
        <v>743950</v>
      </c>
      <c r="M3995" t="s">
        <v>2990</v>
      </c>
    </row>
    <row r="3996" spans="12:13" x14ac:dyDescent="0.25">
      <c r="L3996" s="65">
        <v>743951</v>
      </c>
      <c r="M3996" t="s">
        <v>2991</v>
      </c>
    </row>
    <row r="3997" spans="12:13" x14ac:dyDescent="0.25">
      <c r="L3997" s="65">
        <v>743960</v>
      </c>
      <c r="M3997" t="s">
        <v>2992</v>
      </c>
    </row>
    <row r="3998" spans="12:13" x14ac:dyDescent="0.25">
      <c r="L3998" s="65">
        <v>743961</v>
      </c>
      <c r="M3998" t="s">
        <v>2992</v>
      </c>
    </row>
    <row r="3999" spans="12:13" x14ac:dyDescent="0.25">
      <c r="L3999" s="65">
        <v>744000</v>
      </c>
      <c r="M3999" t="s">
        <v>2994</v>
      </c>
    </row>
    <row r="4000" spans="12:13" x14ac:dyDescent="0.25">
      <c r="L4000" s="65">
        <v>744100</v>
      </c>
      <c r="M4000" t="s">
        <v>2995</v>
      </c>
    </row>
    <row r="4001" spans="12:13" x14ac:dyDescent="0.25">
      <c r="L4001" s="65">
        <v>744120</v>
      </c>
      <c r="M4001" t="s">
        <v>2996</v>
      </c>
    </row>
    <row r="4002" spans="12:13" x14ac:dyDescent="0.25">
      <c r="L4002" s="65">
        <v>744121</v>
      </c>
      <c r="M4002" t="s">
        <v>2996</v>
      </c>
    </row>
    <row r="4003" spans="12:13" x14ac:dyDescent="0.25">
      <c r="L4003" s="65">
        <v>744122</v>
      </c>
      <c r="M4003" t="s">
        <v>2997</v>
      </c>
    </row>
    <row r="4004" spans="12:13" x14ac:dyDescent="0.25">
      <c r="L4004" s="65">
        <v>744130</v>
      </c>
      <c r="M4004" t="s">
        <v>2998</v>
      </c>
    </row>
    <row r="4005" spans="12:13" x14ac:dyDescent="0.25">
      <c r="L4005" s="65">
        <v>744131</v>
      </c>
      <c r="M4005" t="s">
        <v>2999</v>
      </c>
    </row>
    <row r="4006" spans="12:13" x14ac:dyDescent="0.25">
      <c r="L4006" s="65">
        <v>744132</v>
      </c>
      <c r="M4006" t="s">
        <v>3000</v>
      </c>
    </row>
    <row r="4007" spans="12:13" x14ac:dyDescent="0.25">
      <c r="L4007" s="65">
        <v>744140</v>
      </c>
      <c r="M4007" t="s">
        <v>3001</v>
      </c>
    </row>
    <row r="4008" spans="12:13" x14ac:dyDescent="0.25">
      <c r="L4008" s="65">
        <v>744141</v>
      </c>
      <c r="M4008" t="s">
        <v>3001</v>
      </c>
    </row>
    <row r="4009" spans="12:13" x14ac:dyDescent="0.25">
      <c r="L4009" s="65">
        <v>744142</v>
      </c>
      <c r="M4009" t="s">
        <v>3003</v>
      </c>
    </row>
    <row r="4010" spans="12:13" x14ac:dyDescent="0.25">
      <c r="L4010" s="65">
        <v>744150</v>
      </c>
      <c r="M4010" t="s">
        <v>3004</v>
      </c>
    </row>
    <row r="4011" spans="12:13" x14ac:dyDescent="0.25">
      <c r="L4011" s="65">
        <v>744151</v>
      </c>
      <c r="M4011" t="s">
        <v>3004</v>
      </c>
    </row>
    <row r="4012" spans="12:13" x14ac:dyDescent="0.25">
      <c r="L4012" s="65">
        <v>744160</v>
      </c>
      <c r="M4012" t="s">
        <v>3005</v>
      </c>
    </row>
    <row r="4013" spans="12:13" x14ac:dyDescent="0.25">
      <c r="L4013" s="65">
        <v>744161</v>
      </c>
      <c r="M4013" t="s">
        <v>3006</v>
      </c>
    </row>
    <row r="4014" spans="12:13" x14ac:dyDescent="0.25">
      <c r="L4014" s="65">
        <v>744162</v>
      </c>
      <c r="M4014" t="s">
        <v>3007</v>
      </c>
    </row>
    <row r="4015" spans="12:13" x14ac:dyDescent="0.25">
      <c r="L4015" s="65">
        <v>744165</v>
      </c>
      <c r="M4015" t="s">
        <v>3008</v>
      </c>
    </row>
    <row r="4016" spans="12:13" x14ac:dyDescent="0.25">
      <c r="L4016" s="65">
        <v>744200</v>
      </c>
      <c r="M4016" t="s">
        <v>3009</v>
      </c>
    </row>
    <row r="4017" spans="12:13" x14ac:dyDescent="0.25">
      <c r="L4017" s="65">
        <v>744220</v>
      </c>
      <c r="M4017" t="s">
        <v>3010</v>
      </c>
    </row>
    <row r="4018" spans="12:13" x14ac:dyDescent="0.25">
      <c r="L4018" s="65">
        <v>744221</v>
      </c>
      <c r="M4018" t="s">
        <v>3010</v>
      </c>
    </row>
    <row r="4019" spans="12:13" x14ac:dyDescent="0.25">
      <c r="L4019" s="65">
        <v>744230</v>
      </c>
      <c r="M4019" t="s">
        <v>3011</v>
      </c>
    </row>
    <row r="4020" spans="12:13" x14ac:dyDescent="0.25">
      <c r="L4020" s="65">
        <v>744231</v>
      </c>
      <c r="M4020" t="s">
        <v>3012</v>
      </c>
    </row>
    <row r="4021" spans="12:13" x14ac:dyDescent="0.25">
      <c r="L4021" s="65">
        <v>744232</v>
      </c>
      <c r="M4021" t="s">
        <v>3013</v>
      </c>
    </row>
    <row r="4022" spans="12:13" x14ac:dyDescent="0.25">
      <c r="L4022" s="65">
        <v>744240</v>
      </c>
      <c r="M4022" t="s">
        <v>3014</v>
      </c>
    </row>
    <row r="4023" spans="12:13" x14ac:dyDescent="0.25">
      <c r="L4023" s="65">
        <v>744241</v>
      </c>
      <c r="M4023" t="s">
        <v>3014</v>
      </c>
    </row>
    <row r="4024" spans="12:13" x14ac:dyDescent="0.25">
      <c r="L4024" s="65">
        <v>744250</v>
      </c>
      <c r="M4024" t="s">
        <v>3016</v>
      </c>
    </row>
    <row r="4025" spans="12:13" x14ac:dyDescent="0.25">
      <c r="L4025" s="65">
        <v>744251</v>
      </c>
      <c r="M4025" t="s">
        <v>3016</v>
      </c>
    </row>
    <row r="4026" spans="12:13" x14ac:dyDescent="0.25">
      <c r="L4026" s="65">
        <v>744260</v>
      </c>
      <c r="M4026" t="s">
        <v>3017</v>
      </c>
    </row>
    <row r="4027" spans="12:13" x14ac:dyDescent="0.25">
      <c r="L4027" s="65">
        <v>744261</v>
      </c>
      <c r="M4027" t="s">
        <v>3018</v>
      </c>
    </row>
    <row r="4028" spans="12:13" x14ac:dyDescent="0.25">
      <c r="L4028" s="65">
        <v>744262</v>
      </c>
      <c r="M4028" t="s">
        <v>3019</v>
      </c>
    </row>
    <row r="4029" spans="12:13" x14ac:dyDescent="0.25">
      <c r="L4029" s="65">
        <v>744265</v>
      </c>
      <c r="M4029" t="s">
        <v>3020</v>
      </c>
    </row>
    <row r="4030" spans="12:13" x14ac:dyDescent="0.25">
      <c r="L4030" s="65">
        <v>745000</v>
      </c>
      <c r="M4030" t="s">
        <v>3022</v>
      </c>
    </row>
    <row r="4031" spans="12:13" x14ac:dyDescent="0.25">
      <c r="L4031" s="65">
        <v>745100</v>
      </c>
      <c r="M4031" t="s">
        <v>3022</v>
      </c>
    </row>
    <row r="4032" spans="12:13" x14ac:dyDescent="0.25">
      <c r="L4032" s="65">
        <v>745120</v>
      </c>
      <c r="M4032" t="s">
        <v>3023</v>
      </c>
    </row>
    <row r="4033" spans="12:13" x14ac:dyDescent="0.25">
      <c r="L4033" s="65">
        <v>745121</v>
      </c>
      <c r="M4033" t="s">
        <v>3024</v>
      </c>
    </row>
    <row r="4034" spans="12:13" x14ac:dyDescent="0.25">
      <c r="L4034" s="65">
        <v>745122</v>
      </c>
      <c r="M4034" t="s">
        <v>3025</v>
      </c>
    </row>
    <row r="4035" spans="12:13" x14ac:dyDescent="0.25">
      <c r="L4035" s="65">
        <v>745123</v>
      </c>
      <c r="M4035" t="s">
        <v>3026</v>
      </c>
    </row>
    <row r="4036" spans="12:13" x14ac:dyDescent="0.25">
      <c r="L4036" s="65">
        <v>745124</v>
      </c>
      <c r="M4036" t="s">
        <v>3027</v>
      </c>
    </row>
    <row r="4037" spans="12:13" x14ac:dyDescent="0.25">
      <c r="L4037" s="65">
        <v>745125</v>
      </c>
      <c r="M4037" t="s">
        <v>3028</v>
      </c>
    </row>
    <row r="4038" spans="12:13" x14ac:dyDescent="0.25">
      <c r="L4038" s="65">
        <v>745126</v>
      </c>
      <c r="M4038" t="s">
        <v>3029</v>
      </c>
    </row>
    <row r="4039" spans="12:13" x14ac:dyDescent="0.25">
      <c r="L4039" s="65">
        <v>745127</v>
      </c>
      <c r="M4039" t="s">
        <v>3030</v>
      </c>
    </row>
    <row r="4040" spans="12:13" x14ac:dyDescent="0.25">
      <c r="L4040" s="65">
        <v>745128</v>
      </c>
      <c r="M4040" t="s">
        <v>3031</v>
      </c>
    </row>
    <row r="4041" spans="12:13" x14ac:dyDescent="0.25">
      <c r="L4041" s="65">
        <v>745130</v>
      </c>
      <c r="M4041" t="s">
        <v>3032</v>
      </c>
    </row>
    <row r="4042" spans="12:13" x14ac:dyDescent="0.25">
      <c r="L4042" s="65">
        <v>745131</v>
      </c>
      <c r="M4042" t="s">
        <v>3033</v>
      </c>
    </row>
    <row r="4043" spans="12:13" x14ac:dyDescent="0.25">
      <c r="L4043" s="65">
        <v>745132</v>
      </c>
      <c r="M4043" t="s">
        <v>3034</v>
      </c>
    </row>
    <row r="4044" spans="12:13" x14ac:dyDescent="0.25">
      <c r="L4044" s="65">
        <v>745133</v>
      </c>
      <c r="M4044" t="s">
        <v>3035</v>
      </c>
    </row>
    <row r="4045" spans="12:13" x14ac:dyDescent="0.25">
      <c r="L4045" s="65">
        <v>745134</v>
      </c>
      <c r="M4045" t="s">
        <v>3036</v>
      </c>
    </row>
    <row r="4046" spans="12:13" x14ac:dyDescent="0.25">
      <c r="L4046" s="65">
        <v>745135</v>
      </c>
      <c r="M4046" t="s">
        <v>3037</v>
      </c>
    </row>
    <row r="4047" spans="12:13" x14ac:dyDescent="0.25">
      <c r="L4047" s="65">
        <v>745136</v>
      </c>
      <c r="M4047" t="s">
        <v>3038</v>
      </c>
    </row>
    <row r="4048" spans="12:13" x14ac:dyDescent="0.25">
      <c r="L4048" s="65">
        <v>745137</v>
      </c>
      <c r="M4048" t="s">
        <v>3039</v>
      </c>
    </row>
    <row r="4049" spans="12:13" x14ac:dyDescent="0.25">
      <c r="L4049" s="65">
        <v>745138</v>
      </c>
      <c r="M4049" t="s">
        <v>3040</v>
      </c>
    </row>
    <row r="4050" spans="12:13" x14ac:dyDescent="0.25">
      <c r="L4050" s="65">
        <v>745139</v>
      </c>
      <c r="M4050" t="s">
        <v>3041</v>
      </c>
    </row>
    <row r="4051" spans="12:13" x14ac:dyDescent="0.25">
      <c r="L4051" s="65">
        <v>745140</v>
      </c>
      <c r="M4051" t="s">
        <v>3042</v>
      </c>
    </row>
    <row r="4052" spans="12:13" x14ac:dyDescent="0.25">
      <c r="L4052" s="65">
        <v>745141</v>
      </c>
      <c r="M4052" t="s">
        <v>3044</v>
      </c>
    </row>
    <row r="4053" spans="12:13" x14ac:dyDescent="0.25">
      <c r="L4053" s="65">
        <v>745142</v>
      </c>
      <c r="M4053" t="s">
        <v>3046</v>
      </c>
    </row>
    <row r="4054" spans="12:13" x14ac:dyDescent="0.25">
      <c r="L4054" s="65">
        <v>745143</v>
      </c>
      <c r="M4054" t="s">
        <v>3048</v>
      </c>
    </row>
    <row r="4055" spans="12:13" x14ac:dyDescent="0.25">
      <c r="L4055" s="65">
        <v>745144</v>
      </c>
      <c r="M4055" t="s">
        <v>3049</v>
      </c>
    </row>
    <row r="4056" spans="12:13" x14ac:dyDescent="0.25">
      <c r="L4056" s="65">
        <v>745145</v>
      </c>
      <c r="M4056" t="s">
        <v>3050</v>
      </c>
    </row>
    <row r="4057" spans="12:13" x14ac:dyDescent="0.25">
      <c r="L4057" s="65">
        <v>745150</v>
      </c>
      <c r="M4057" t="s">
        <v>3051</v>
      </c>
    </row>
    <row r="4058" spans="12:13" x14ac:dyDescent="0.25">
      <c r="L4058" s="65">
        <v>745151</v>
      </c>
      <c r="M4058" t="s">
        <v>3052</v>
      </c>
    </row>
    <row r="4059" spans="12:13" x14ac:dyDescent="0.25">
      <c r="L4059" s="65">
        <v>745152</v>
      </c>
      <c r="M4059" t="s">
        <v>3053</v>
      </c>
    </row>
    <row r="4060" spans="12:13" x14ac:dyDescent="0.25">
      <c r="L4060" s="65">
        <v>745153</v>
      </c>
      <c r="M4060" t="s">
        <v>3054</v>
      </c>
    </row>
    <row r="4061" spans="12:13" x14ac:dyDescent="0.25">
      <c r="L4061" s="65">
        <v>745154</v>
      </c>
      <c r="M4061" t="s">
        <v>3055</v>
      </c>
    </row>
    <row r="4062" spans="12:13" x14ac:dyDescent="0.25">
      <c r="L4062" s="65">
        <v>745155</v>
      </c>
      <c r="M4062" t="s">
        <v>3050</v>
      </c>
    </row>
    <row r="4063" spans="12:13" x14ac:dyDescent="0.25">
      <c r="L4063" s="65">
        <v>745160</v>
      </c>
      <c r="M4063" t="s">
        <v>3056</v>
      </c>
    </row>
    <row r="4064" spans="12:13" x14ac:dyDescent="0.25">
      <c r="L4064" s="65">
        <v>745161</v>
      </c>
      <c r="M4064" t="s">
        <v>3057</v>
      </c>
    </row>
    <row r="4065" spans="12:13" x14ac:dyDescent="0.25">
      <c r="L4065" s="65">
        <v>745162</v>
      </c>
      <c r="M4065" t="s">
        <v>3058</v>
      </c>
    </row>
    <row r="4066" spans="12:13" x14ac:dyDescent="0.25">
      <c r="L4066" s="65">
        <v>745165</v>
      </c>
      <c r="M4066" t="s">
        <v>3059</v>
      </c>
    </row>
    <row r="4067" spans="12:13" x14ac:dyDescent="0.25">
      <c r="L4067" s="65">
        <v>745166</v>
      </c>
      <c r="M4067" t="s">
        <v>3060</v>
      </c>
    </row>
    <row r="4068" spans="12:13" x14ac:dyDescent="0.25">
      <c r="L4068" s="65">
        <v>770000</v>
      </c>
      <c r="M4068" t="s">
        <v>3062</v>
      </c>
    </row>
    <row r="4069" spans="12:13" x14ac:dyDescent="0.25">
      <c r="L4069" s="65">
        <v>771000</v>
      </c>
      <c r="M4069" t="s">
        <v>3062</v>
      </c>
    </row>
    <row r="4070" spans="12:13" x14ac:dyDescent="0.25">
      <c r="L4070" s="65">
        <v>771100</v>
      </c>
      <c r="M4070" t="s">
        <v>3062</v>
      </c>
    </row>
    <row r="4071" spans="12:13" x14ac:dyDescent="0.25">
      <c r="L4071" s="65">
        <v>771110</v>
      </c>
      <c r="M4071" t="s">
        <v>3062</v>
      </c>
    </row>
    <row r="4072" spans="12:13" x14ac:dyDescent="0.25">
      <c r="L4072" s="65">
        <v>771111</v>
      </c>
      <c r="M4072" t="s">
        <v>3062</v>
      </c>
    </row>
    <row r="4073" spans="12:13" x14ac:dyDescent="0.25">
      <c r="L4073" s="65">
        <v>772000</v>
      </c>
      <c r="M4073" t="s">
        <v>3063</v>
      </c>
    </row>
    <row r="4074" spans="12:13" x14ac:dyDescent="0.25">
      <c r="L4074" s="65">
        <v>772100</v>
      </c>
      <c r="M4074" t="s">
        <v>3063</v>
      </c>
    </row>
    <row r="4075" spans="12:13" x14ac:dyDescent="0.25">
      <c r="L4075" s="65">
        <v>772110</v>
      </c>
      <c r="M4075" t="s">
        <v>3063</v>
      </c>
    </row>
    <row r="4076" spans="12:13" x14ac:dyDescent="0.25">
      <c r="L4076" s="65">
        <v>772111</v>
      </c>
      <c r="M4076" t="s">
        <v>3064</v>
      </c>
    </row>
    <row r="4077" spans="12:13" x14ac:dyDescent="0.25">
      <c r="L4077" s="65">
        <v>772112</v>
      </c>
      <c r="M4077" t="s">
        <v>3065</v>
      </c>
    </row>
    <row r="4078" spans="12:13" x14ac:dyDescent="0.25">
      <c r="L4078" s="65">
        <v>772113</v>
      </c>
      <c r="M4078" t="s">
        <v>3066</v>
      </c>
    </row>
    <row r="4079" spans="12:13" x14ac:dyDescent="0.25">
      <c r="L4079" s="65">
        <v>772114</v>
      </c>
      <c r="M4079" t="s">
        <v>3067</v>
      </c>
    </row>
    <row r="4080" spans="12:13" x14ac:dyDescent="0.25">
      <c r="L4080" s="65">
        <v>780000</v>
      </c>
      <c r="M4080" t="s">
        <v>3068</v>
      </c>
    </row>
    <row r="4081" spans="12:13" x14ac:dyDescent="0.25">
      <c r="L4081" s="65">
        <v>781000</v>
      </c>
      <c r="M4081" t="s">
        <v>3068</v>
      </c>
    </row>
    <row r="4082" spans="12:13" x14ac:dyDescent="0.25">
      <c r="L4082" s="65">
        <v>781100</v>
      </c>
      <c r="M4082" t="s">
        <v>3068</v>
      </c>
    </row>
    <row r="4083" spans="12:13" x14ac:dyDescent="0.25">
      <c r="L4083" s="65">
        <v>781110</v>
      </c>
      <c r="M4083" t="s">
        <v>3068</v>
      </c>
    </row>
    <row r="4084" spans="12:13" x14ac:dyDescent="0.25">
      <c r="L4084" s="65">
        <v>781111</v>
      </c>
      <c r="M4084" t="s">
        <v>3068</v>
      </c>
    </row>
    <row r="4085" spans="12:13" x14ac:dyDescent="0.25">
      <c r="L4085" s="65">
        <v>781112</v>
      </c>
      <c r="M4085" t="s">
        <v>3069</v>
      </c>
    </row>
    <row r="4086" spans="12:13" x14ac:dyDescent="0.25">
      <c r="L4086" s="65">
        <v>781300</v>
      </c>
      <c r="M4086" t="s">
        <v>3070</v>
      </c>
    </row>
    <row r="4087" spans="12:13" x14ac:dyDescent="0.25">
      <c r="L4087" s="65">
        <v>781310</v>
      </c>
      <c r="M4087" t="s">
        <v>3071</v>
      </c>
    </row>
    <row r="4088" spans="12:13" x14ac:dyDescent="0.25">
      <c r="L4088" s="65">
        <v>781311</v>
      </c>
      <c r="M4088" t="s">
        <v>3072</v>
      </c>
    </row>
    <row r="4089" spans="12:13" x14ac:dyDescent="0.25">
      <c r="L4089" s="65">
        <v>781312</v>
      </c>
      <c r="M4089" t="s">
        <v>3073</v>
      </c>
    </row>
    <row r="4090" spans="12:13" x14ac:dyDescent="0.25">
      <c r="L4090" s="65">
        <v>781313</v>
      </c>
      <c r="M4090" t="s">
        <v>3074</v>
      </c>
    </row>
    <row r="4091" spans="12:13" x14ac:dyDescent="0.25">
      <c r="L4091" s="65">
        <v>781314</v>
      </c>
      <c r="M4091" t="s">
        <v>3075</v>
      </c>
    </row>
    <row r="4092" spans="12:13" x14ac:dyDescent="0.25">
      <c r="L4092" s="65">
        <v>781315</v>
      </c>
      <c r="M4092" t="s">
        <v>3076</v>
      </c>
    </row>
    <row r="4093" spans="12:13" x14ac:dyDescent="0.25">
      <c r="L4093" s="65">
        <v>781316</v>
      </c>
      <c r="M4093" t="s">
        <v>3077</v>
      </c>
    </row>
    <row r="4094" spans="12:13" x14ac:dyDescent="0.25">
      <c r="L4094" s="65">
        <v>781317</v>
      </c>
      <c r="M4094" t="s">
        <v>3078</v>
      </c>
    </row>
    <row r="4095" spans="12:13" x14ac:dyDescent="0.25">
      <c r="L4095" s="65">
        <v>781318</v>
      </c>
      <c r="M4095" t="s">
        <v>3079</v>
      </c>
    </row>
    <row r="4096" spans="12:13" x14ac:dyDescent="0.25">
      <c r="L4096" s="65">
        <v>781320</v>
      </c>
      <c r="M4096" t="s">
        <v>3080</v>
      </c>
    </row>
    <row r="4097" spans="12:13" x14ac:dyDescent="0.25">
      <c r="L4097" s="65">
        <v>781321</v>
      </c>
      <c r="M4097" t="s">
        <v>3081</v>
      </c>
    </row>
    <row r="4098" spans="12:13" x14ac:dyDescent="0.25">
      <c r="L4098" s="65">
        <v>781322</v>
      </c>
      <c r="M4098" t="s">
        <v>3082</v>
      </c>
    </row>
    <row r="4099" spans="12:13" x14ac:dyDescent="0.25">
      <c r="L4099" s="65">
        <v>781323</v>
      </c>
      <c r="M4099" t="s">
        <v>3083</v>
      </c>
    </row>
    <row r="4100" spans="12:13" x14ac:dyDescent="0.25">
      <c r="L4100" s="65">
        <v>781324</v>
      </c>
      <c r="M4100" t="s">
        <v>3084</v>
      </c>
    </row>
    <row r="4101" spans="12:13" x14ac:dyDescent="0.25">
      <c r="L4101" s="65">
        <v>781330</v>
      </c>
      <c r="M4101" t="s">
        <v>3085</v>
      </c>
    </row>
    <row r="4102" spans="12:13" x14ac:dyDescent="0.25">
      <c r="L4102" s="65">
        <v>781331</v>
      </c>
      <c r="M4102" t="s">
        <v>3086</v>
      </c>
    </row>
    <row r="4103" spans="12:13" x14ac:dyDescent="0.25">
      <c r="L4103" s="65">
        <v>781340</v>
      </c>
      <c r="M4103" t="s">
        <v>3087</v>
      </c>
    </row>
    <row r="4104" spans="12:13" x14ac:dyDescent="0.25">
      <c r="L4104" s="65">
        <v>781341</v>
      </c>
      <c r="M4104" t="s">
        <v>3088</v>
      </c>
    </row>
    <row r="4105" spans="12:13" x14ac:dyDescent="0.25">
      <c r="L4105" s="65">
        <v>781342</v>
      </c>
      <c r="M4105" t="s">
        <v>3089</v>
      </c>
    </row>
    <row r="4106" spans="12:13" x14ac:dyDescent="0.25">
      <c r="L4106" s="65">
        <v>781350</v>
      </c>
      <c r="M4106" t="s">
        <v>3090</v>
      </c>
    </row>
    <row r="4107" spans="12:13" x14ac:dyDescent="0.25">
      <c r="L4107" s="65">
        <v>781351</v>
      </c>
      <c r="M4107" t="s">
        <v>3090</v>
      </c>
    </row>
    <row r="4108" spans="12:13" x14ac:dyDescent="0.25">
      <c r="L4108" s="65">
        <v>781352</v>
      </c>
      <c r="M4108" t="s">
        <v>3091</v>
      </c>
    </row>
    <row r="4109" spans="12:13" x14ac:dyDescent="0.25">
      <c r="L4109" s="65">
        <v>790000</v>
      </c>
      <c r="M4109" t="s">
        <v>3092</v>
      </c>
    </row>
    <row r="4110" spans="12:13" x14ac:dyDescent="0.25">
      <c r="L4110" s="65">
        <v>791000</v>
      </c>
      <c r="M4110" t="s">
        <v>3092</v>
      </c>
    </row>
    <row r="4111" spans="12:13" x14ac:dyDescent="0.25">
      <c r="L4111" s="65">
        <v>791100</v>
      </c>
      <c r="M4111" t="s">
        <v>3092</v>
      </c>
    </row>
    <row r="4112" spans="12:13" x14ac:dyDescent="0.25">
      <c r="L4112" s="65">
        <v>791110</v>
      </c>
      <c r="M4112" t="s">
        <v>3092</v>
      </c>
    </row>
    <row r="4113" spans="12:13" x14ac:dyDescent="0.25">
      <c r="L4113" s="65">
        <v>791111</v>
      </c>
      <c r="M4113" t="s">
        <v>3092</v>
      </c>
    </row>
    <row r="4114" spans="12:13" x14ac:dyDescent="0.25">
      <c r="L4114" s="65">
        <v>800000</v>
      </c>
      <c r="M4114" t="s">
        <v>3094</v>
      </c>
    </row>
    <row r="4115" spans="12:13" x14ac:dyDescent="0.25">
      <c r="L4115" s="65">
        <v>810000</v>
      </c>
      <c r="M4115" t="s">
        <v>3095</v>
      </c>
    </row>
    <row r="4116" spans="12:13" x14ac:dyDescent="0.25">
      <c r="L4116" s="65">
        <v>811000</v>
      </c>
      <c r="M4116" t="s">
        <v>3096</v>
      </c>
    </row>
    <row r="4117" spans="12:13" x14ac:dyDescent="0.25">
      <c r="L4117" s="65">
        <v>811100</v>
      </c>
      <c r="M4117" t="s">
        <v>3096</v>
      </c>
    </row>
    <row r="4118" spans="12:13" x14ac:dyDescent="0.25">
      <c r="L4118" s="65">
        <v>811120</v>
      </c>
      <c r="M4118" t="s">
        <v>3097</v>
      </c>
    </row>
    <row r="4119" spans="12:13" x14ac:dyDescent="0.25">
      <c r="L4119" s="65">
        <v>811121</v>
      </c>
      <c r="M4119" t="s">
        <v>3098</v>
      </c>
    </row>
    <row r="4120" spans="12:13" x14ac:dyDescent="0.25">
      <c r="L4120" s="65">
        <v>811122</v>
      </c>
      <c r="M4120" t="s">
        <v>3099</v>
      </c>
    </row>
    <row r="4121" spans="12:13" x14ac:dyDescent="0.25">
      <c r="L4121" s="65">
        <v>811123</v>
      </c>
      <c r="M4121" t="s">
        <v>3100</v>
      </c>
    </row>
    <row r="4122" spans="12:13" x14ac:dyDescent="0.25">
      <c r="L4122" s="65">
        <v>811124</v>
      </c>
      <c r="M4122" t="s">
        <v>3101</v>
      </c>
    </row>
    <row r="4123" spans="12:13" x14ac:dyDescent="0.25">
      <c r="L4123" s="65">
        <v>811125</v>
      </c>
      <c r="M4123" t="s">
        <v>3102</v>
      </c>
    </row>
    <row r="4124" spans="12:13" x14ac:dyDescent="0.25">
      <c r="L4124" s="65">
        <v>811130</v>
      </c>
      <c r="M4124" t="s">
        <v>3103</v>
      </c>
    </row>
    <row r="4125" spans="12:13" x14ac:dyDescent="0.25">
      <c r="L4125" s="65">
        <v>811131</v>
      </c>
      <c r="M4125" t="s">
        <v>3104</v>
      </c>
    </row>
    <row r="4126" spans="12:13" x14ac:dyDescent="0.25">
      <c r="L4126" s="65">
        <v>811132</v>
      </c>
      <c r="M4126" t="s">
        <v>3105</v>
      </c>
    </row>
    <row r="4127" spans="12:13" x14ac:dyDescent="0.25">
      <c r="L4127" s="65">
        <v>811133</v>
      </c>
      <c r="M4127" t="s">
        <v>3106</v>
      </c>
    </row>
    <row r="4128" spans="12:13" x14ac:dyDescent="0.25">
      <c r="L4128" s="65">
        <v>811134</v>
      </c>
      <c r="M4128" t="s">
        <v>3107</v>
      </c>
    </row>
    <row r="4129" spans="12:13" x14ac:dyDescent="0.25">
      <c r="L4129" s="65">
        <v>811135</v>
      </c>
      <c r="M4129" t="s">
        <v>3108</v>
      </c>
    </row>
    <row r="4130" spans="12:13" x14ac:dyDescent="0.25">
      <c r="L4130" s="65">
        <v>811140</v>
      </c>
      <c r="M4130" t="s">
        <v>3109</v>
      </c>
    </row>
    <row r="4131" spans="12:13" x14ac:dyDescent="0.25">
      <c r="L4131" s="65">
        <v>811141</v>
      </c>
      <c r="M4131" t="s">
        <v>3109</v>
      </c>
    </row>
    <row r="4132" spans="12:13" x14ac:dyDescent="0.25">
      <c r="L4132" s="65">
        <v>811142</v>
      </c>
      <c r="M4132" t="s">
        <v>3110</v>
      </c>
    </row>
    <row r="4133" spans="12:13" x14ac:dyDescent="0.25">
      <c r="L4133" s="65">
        <v>811143</v>
      </c>
      <c r="M4133" t="s">
        <v>3111</v>
      </c>
    </row>
    <row r="4134" spans="12:13" x14ac:dyDescent="0.25">
      <c r="L4134" s="65">
        <v>811144</v>
      </c>
      <c r="M4134" t="s">
        <v>3112</v>
      </c>
    </row>
    <row r="4135" spans="12:13" x14ac:dyDescent="0.25">
      <c r="L4135" s="65">
        <v>811150</v>
      </c>
      <c r="M4135" t="s">
        <v>3113</v>
      </c>
    </row>
    <row r="4136" spans="12:13" x14ac:dyDescent="0.25">
      <c r="L4136" s="65">
        <v>811151</v>
      </c>
      <c r="M4136" t="s">
        <v>3113</v>
      </c>
    </row>
    <row r="4137" spans="12:13" x14ac:dyDescent="0.25">
      <c r="L4137" s="65">
        <v>811152</v>
      </c>
      <c r="M4137" t="s">
        <v>3114</v>
      </c>
    </row>
    <row r="4138" spans="12:13" x14ac:dyDescent="0.25">
      <c r="L4138" s="65">
        <v>811153</v>
      </c>
      <c r="M4138" t="s">
        <v>3115</v>
      </c>
    </row>
    <row r="4139" spans="12:13" x14ac:dyDescent="0.25">
      <c r="L4139" s="65">
        <v>811154</v>
      </c>
      <c r="M4139" t="s">
        <v>3116</v>
      </c>
    </row>
    <row r="4140" spans="12:13" x14ac:dyDescent="0.25">
      <c r="L4140" s="65">
        <v>811160</v>
      </c>
      <c r="M4140" t="s">
        <v>3117</v>
      </c>
    </row>
    <row r="4141" spans="12:13" x14ac:dyDescent="0.25">
      <c r="L4141" s="65">
        <v>811161</v>
      </c>
      <c r="M4141" t="s">
        <v>3118</v>
      </c>
    </row>
    <row r="4142" spans="12:13" x14ac:dyDescent="0.25">
      <c r="L4142" s="65">
        <v>811162</v>
      </c>
      <c r="M4142" t="s">
        <v>3119</v>
      </c>
    </row>
    <row r="4143" spans="12:13" x14ac:dyDescent="0.25">
      <c r="L4143" s="65">
        <v>811165</v>
      </c>
      <c r="M4143" t="s">
        <v>3120</v>
      </c>
    </row>
    <row r="4144" spans="12:13" x14ac:dyDescent="0.25">
      <c r="L4144" s="65">
        <v>811170</v>
      </c>
      <c r="M4144" t="s">
        <v>3121</v>
      </c>
    </row>
    <row r="4145" spans="12:13" x14ac:dyDescent="0.25">
      <c r="L4145" s="65">
        <v>811171</v>
      </c>
      <c r="M4145" t="s">
        <v>3122</v>
      </c>
    </row>
    <row r="4146" spans="12:13" x14ac:dyDescent="0.25">
      <c r="L4146" s="65">
        <v>811172</v>
      </c>
      <c r="M4146" t="s">
        <v>3123</v>
      </c>
    </row>
    <row r="4147" spans="12:13" x14ac:dyDescent="0.25">
      <c r="L4147" s="65">
        <v>812000</v>
      </c>
      <c r="M4147" t="s">
        <v>3124</v>
      </c>
    </row>
    <row r="4148" spans="12:13" x14ac:dyDescent="0.25">
      <c r="L4148" s="65">
        <v>812100</v>
      </c>
      <c r="M4148" t="s">
        <v>3124</v>
      </c>
    </row>
    <row r="4149" spans="12:13" x14ac:dyDescent="0.25">
      <c r="L4149" s="65">
        <v>812120</v>
      </c>
      <c r="M4149" t="s">
        <v>3125</v>
      </c>
    </row>
    <row r="4150" spans="12:13" x14ac:dyDescent="0.25">
      <c r="L4150" s="65">
        <v>812121</v>
      </c>
      <c r="M4150" t="s">
        <v>3125</v>
      </c>
    </row>
    <row r="4151" spans="12:13" x14ac:dyDescent="0.25">
      <c r="L4151" s="65">
        <v>812130</v>
      </c>
      <c r="M4151" t="s">
        <v>3126</v>
      </c>
    </row>
    <row r="4152" spans="12:13" x14ac:dyDescent="0.25">
      <c r="L4152" s="65">
        <v>812131</v>
      </c>
      <c r="M4152" t="s">
        <v>3127</v>
      </c>
    </row>
    <row r="4153" spans="12:13" x14ac:dyDescent="0.25">
      <c r="L4153" s="65">
        <v>812132</v>
      </c>
      <c r="M4153" t="s">
        <v>3128</v>
      </c>
    </row>
    <row r="4154" spans="12:13" x14ac:dyDescent="0.25">
      <c r="L4154" s="65">
        <v>812140</v>
      </c>
      <c r="M4154" t="s">
        <v>3129</v>
      </c>
    </row>
    <row r="4155" spans="12:13" x14ac:dyDescent="0.25">
      <c r="L4155" s="65">
        <v>812141</v>
      </c>
      <c r="M4155" t="s">
        <v>3129</v>
      </c>
    </row>
    <row r="4156" spans="12:13" x14ac:dyDescent="0.25">
      <c r="L4156" s="65">
        <v>812150</v>
      </c>
      <c r="M4156" t="s">
        <v>3130</v>
      </c>
    </row>
    <row r="4157" spans="12:13" x14ac:dyDescent="0.25">
      <c r="L4157" s="65">
        <v>812151</v>
      </c>
      <c r="M4157" t="s">
        <v>3130</v>
      </c>
    </row>
    <row r="4158" spans="12:13" x14ac:dyDescent="0.25">
      <c r="L4158" s="65">
        <v>812160</v>
      </c>
      <c r="M4158" t="s">
        <v>3131</v>
      </c>
    </row>
    <row r="4159" spans="12:13" x14ac:dyDescent="0.25">
      <c r="L4159" s="65">
        <v>812161</v>
      </c>
      <c r="M4159" t="s">
        <v>3132</v>
      </c>
    </row>
    <row r="4160" spans="12:13" x14ac:dyDescent="0.25">
      <c r="L4160" s="65">
        <v>812162</v>
      </c>
      <c r="M4160" t="s">
        <v>3133</v>
      </c>
    </row>
    <row r="4161" spans="12:13" x14ac:dyDescent="0.25">
      <c r="L4161" s="65">
        <v>812165</v>
      </c>
      <c r="M4161" t="s">
        <v>3134</v>
      </c>
    </row>
    <row r="4162" spans="12:13" x14ac:dyDescent="0.25">
      <c r="L4162" s="65">
        <v>813000</v>
      </c>
      <c r="M4162" t="s">
        <v>3135</v>
      </c>
    </row>
    <row r="4163" spans="12:13" x14ac:dyDescent="0.25">
      <c r="L4163" s="65">
        <v>813100</v>
      </c>
      <c r="M4163" t="s">
        <v>3135</v>
      </c>
    </row>
    <row r="4164" spans="12:13" x14ac:dyDescent="0.25">
      <c r="L4164" s="65">
        <v>813120</v>
      </c>
      <c r="M4164" t="s">
        <v>3136</v>
      </c>
    </row>
    <row r="4165" spans="12:13" x14ac:dyDescent="0.25">
      <c r="L4165" s="65">
        <v>813121</v>
      </c>
      <c r="M4165" t="s">
        <v>3136</v>
      </c>
    </row>
    <row r="4166" spans="12:13" x14ac:dyDescent="0.25">
      <c r="L4166" s="65">
        <v>813130</v>
      </c>
      <c r="M4166" t="s">
        <v>3137</v>
      </c>
    </row>
    <row r="4167" spans="12:13" x14ac:dyDescent="0.25">
      <c r="L4167" s="65">
        <v>813131</v>
      </c>
      <c r="M4167" t="s">
        <v>3138</v>
      </c>
    </row>
    <row r="4168" spans="12:13" x14ac:dyDescent="0.25">
      <c r="L4168" s="65">
        <v>813132</v>
      </c>
      <c r="M4168" t="s">
        <v>3139</v>
      </c>
    </row>
    <row r="4169" spans="12:13" x14ac:dyDescent="0.25">
      <c r="L4169" s="65">
        <v>813140</v>
      </c>
      <c r="M4169" t="s">
        <v>3140</v>
      </c>
    </row>
    <row r="4170" spans="12:13" x14ac:dyDescent="0.25">
      <c r="L4170" s="65">
        <v>813141</v>
      </c>
      <c r="M4170" t="s">
        <v>3140</v>
      </c>
    </row>
    <row r="4171" spans="12:13" x14ac:dyDescent="0.25">
      <c r="L4171" s="65">
        <v>813150</v>
      </c>
      <c r="M4171" t="s">
        <v>3141</v>
      </c>
    </row>
    <row r="4172" spans="12:13" x14ac:dyDescent="0.25">
      <c r="L4172" s="65">
        <v>813151</v>
      </c>
      <c r="M4172" t="s">
        <v>3141</v>
      </c>
    </row>
    <row r="4173" spans="12:13" x14ac:dyDescent="0.25">
      <c r="L4173" s="65">
        <v>813160</v>
      </c>
      <c r="M4173" t="s">
        <v>3142</v>
      </c>
    </row>
    <row r="4174" spans="12:13" x14ac:dyDescent="0.25">
      <c r="L4174" s="65">
        <v>813161</v>
      </c>
      <c r="M4174" t="s">
        <v>3143</v>
      </c>
    </row>
    <row r="4175" spans="12:13" x14ac:dyDescent="0.25">
      <c r="L4175" s="65">
        <v>813162</v>
      </c>
      <c r="M4175" t="s">
        <v>3144</v>
      </c>
    </row>
    <row r="4176" spans="12:13" x14ac:dyDescent="0.25">
      <c r="L4176" s="65">
        <v>813165</v>
      </c>
      <c r="M4176" t="s">
        <v>3145</v>
      </c>
    </row>
    <row r="4177" spans="12:13" x14ac:dyDescent="0.25">
      <c r="L4177" s="65">
        <v>820000</v>
      </c>
      <c r="M4177" t="s">
        <v>3146</v>
      </c>
    </row>
    <row r="4178" spans="12:13" x14ac:dyDescent="0.25">
      <c r="L4178" s="65">
        <v>821000</v>
      </c>
      <c r="M4178" t="s">
        <v>3147</v>
      </c>
    </row>
    <row r="4179" spans="12:13" x14ac:dyDescent="0.25">
      <c r="L4179" s="65">
        <v>821100</v>
      </c>
      <c r="M4179" t="s">
        <v>3147</v>
      </c>
    </row>
    <row r="4180" spans="12:13" x14ac:dyDescent="0.25">
      <c r="L4180" s="65">
        <v>821120</v>
      </c>
      <c r="M4180" t="s">
        <v>3148</v>
      </c>
    </row>
    <row r="4181" spans="12:13" x14ac:dyDescent="0.25">
      <c r="L4181" s="65">
        <v>821121</v>
      </c>
      <c r="M4181" t="s">
        <v>3148</v>
      </c>
    </row>
    <row r="4182" spans="12:13" x14ac:dyDescent="0.25">
      <c r="L4182" s="65">
        <v>821130</v>
      </c>
      <c r="M4182" t="s">
        <v>3149</v>
      </c>
    </row>
    <row r="4183" spans="12:13" x14ac:dyDescent="0.25">
      <c r="L4183" s="65">
        <v>821131</v>
      </c>
      <c r="M4183" t="s">
        <v>3150</v>
      </c>
    </row>
    <row r="4184" spans="12:13" x14ac:dyDescent="0.25">
      <c r="L4184" s="65">
        <v>821132</v>
      </c>
      <c r="M4184" t="s">
        <v>3151</v>
      </c>
    </row>
    <row r="4185" spans="12:13" x14ac:dyDescent="0.25">
      <c r="L4185" s="65">
        <v>821140</v>
      </c>
      <c r="M4185" t="s">
        <v>3152</v>
      </c>
    </row>
    <row r="4186" spans="12:13" x14ac:dyDescent="0.25">
      <c r="L4186" s="65">
        <v>821141</v>
      </c>
      <c r="M4186" t="s">
        <v>3152</v>
      </c>
    </row>
    <row r="4187" spans="12:13" x14ac:dyDescent="0.25">
      <c r="L4187" s="65">
        <v>821150</v>
      </c>
      <c r="M4187" t="s">
        <v>3153</v>
      </c>
    </row>
    <row r="4188" spans="12:13" x14ac:dyDescent="0.25">
      <c r="L4188" s="65">
        <v>821151</v>
      </c>
      <c r="M4188" t="s">
        <v>3153</v>
      </c>
    </row>
    <row r="4189" spans="12:13" x14ac:dyDescent="0.25">
      <c r="L4189" s="65">
        <v>821160</v>
      </c>
      <c r="M4189" t="s">
        <v>3154</v>
      </c>
    </row>
    <row r="4190" spans="12:13" x14ac:dyDescent="0.25">
      <c r="L4190" s="65">
        <v>821161</v>
      </c>
      <c r="M4190" t="s">
        <v>3155</v>
      </c>
    </row>
    <row r="4191" spans="12:13" x14ac:dyDescent="0.25">
      <c r="L4191" s="65">
        <v>821162</v>
      </c>
      <c r="M4191" t="s">
        <v>3156</v>
      </c>
    </row>
    <row r="4192" spans="12:13" x14ac:dyDescent="0.25">
      <c r="L4192" s="65">
        <v>821165</v>
      </c>
      <c r="M4192" t="s">
        <v>3157</v>
      </c>
    </row>
    <row r="4193" spans="12:13" x14ac:dyDescent="0.25">
      <c r="L4193" s="65">
        <v>822000</v>
      </c>
      <c r="M4193" t="s">
        <v>3158</v>
      </c>
    </row>
    <row r="4194" spans="12:13" x14ac:dyDescent="0.25">
      <c r="L4194" s="65">
        <v>822100</v>
      </c>
      <c r="M4194" t="s">
        <v>3158</v>
      </c>
    </row>
    <row r="4195" spans="12:13" x14ac:dyDescent="0.25">
      <c r="L4195" s="65">
        <v>822120</v>
      </c>
      <c r="M4195" t="s">
        <v>3159</v>
      </c>
    </row>
    <row r="4196" spans="12:13" x14ac:dyDescent="0.25">
      <c r="L4196" s="65">
        <v>822121</v>
      </c>
      <c r="M4196" t="s">
        <v>3159</v>
      </c>
    </row>
    <row r="4197" spans="12:13" x14ac:dyDescent="0.25">
      <c r="L4197" s="65">
        <v>822130</v>
      </c>
      <c r="M4197" t="s">
        <v>3160</v>
      </c>
    </row>
    <row r="4198" spans="12:13" x14ac:dyDescent="0.25">
      <c r="L4198" s="65">
        <v>822131</v>
      </c>
      <c r="M4198" t="s">
        <v>3161</v>
      </c>
    </row>
    <row r="4199" spans="12:13" x14ac:dyDescent="0.25">
      <c r="L4199" s="65">
        <v>822132</v>
      </c>
      <c r="M4199" t="s">
        <v>3162</v>
      </c>
    </row>
    <row r="4200" spans="12:13" x14ac:dyDescent="0.25">
      <c r="L4200" s="65">
        <v>822140</v>
      </c>
      <c r="M4200" t="s">
        <v>3163</v>
      </c>
    </row>
    <row r="4201" spans="12:13" x14ac:dyDescent="0.25">
      <c r="L4201" s="65">
        <v>822141</v>
      </c>
      <c r="M4201" t="s">
        <v>3163</v>
      </c>
    </row>
    <row r="4202" spans="12:13" x14ac:dyDescent="0.25">
      <c r="L4202" s="65">
        <v>822150</v>
      </c>
      <c r="M4202" t="s">
        <v>3164</v>
      </c>
    </row>
    <row r="4203" spans="12:13" x14ac:dyDescent="0.25">
      <c r="L4203" s="65">
        <v>822151</v>
      </c>
      <c r="M4203" t="s">
        <v>3164</v>
      </c>
    </row>
    <row r="4204" spans="12:13" x14ac:dyDescent="0.25">
      <c r="L4204" s="65">
        <v>822160</v>
      </c>
      <c r="M4204" t="s">
        <v>3165</v>
      </c>
    </row>
    <row r="4205" spans="12:13" x14ac:dyDescent="0.25">
      <c r="L4205" s="65">
        <v>822161</v>
      </c>
      <c r="M4205" t="s">
        <v>3166</v>
      </c>
    </row>
    <row r="4206" spans="12:13" x14ac:dyDescent="0.25">
      <c r="L4206" s="65">
        <v>822162</v>
      </c>
      <c r="M4206" t="s">
        <v>3167</v>
      </c>
    </row>
    <row r="4207" spans="12:13" x14ac:dyDescent="0.25">
      <c r="L4207" s="65">
        <v>822165</v>
      </c>
      <c r="M4207" t="s">
        <v>3168</v>
      </c>
    </row>
    <row r="4208" spans="12:13" x14ac:dyDescent="0.25">
      <c r="L4208" s="65">
        <v>823000</v>
      </c>
      <c r="M4208" t="s">
        <v>3169</v>
      </c>
    </row>
    <row r="4209" spans="12:13" x14ac:dyDescent="0.25">
      <c r="L4209" s="65">
        <v>823100</v>
      </c>
      <c r="M4209" t="s">
        <v>3169</v>
      </c>
    </row>
    <row r="4210" spans="12:13" x14ac:dyDescent="0.25">
      <c r="L4210" s="65">
        <v>823120</v>
      </c>
      <c r="M4210" t="s">
        <v>3170</v>
      </c>
    </row>
    <row r="4211" spans="12:13" x14ac:dyDescent="0.25">
      <c r="L4211" s="65">
        <v>823121</v>
      </c>
      <c r="M4211" t="s">
        <v>3170</v>
      </c>
    </row>
    <row r="4212" spans="12:13" x14ac:dyDescent="0.25">
      <c r="L4212" s="65">
        <v>823130</v>
      </c>
      <c r="M4212" t="s">
        <v>3171</v>
      </c>
    </row>
    <row r="4213" spans="12:13" x14ac:dyDescent="0.25">
      <c r="L4213" s="65">
        <v>823131</v>
      </c>
      <c r="M4213" t="s">
        <v>3172</v>
      </c>
    </row>
    <row r="4214" spans="12:13" x14ac:dyDescent="0.25">
      <c r="L4214" s="65">
        <v>823132</v>
      </c>
      <c r="M4214" t="s">
        <v>3173</v>
      </c>
    </row>
    <row r="4215" spans="12:13" x14ac:dyDescent="0.25">
      <c r="L4215" s="65">
        <v>823140</v>
      </c>
      <c r="M4215" t="s">
        <v>3174</v>
      </c>
    </row>
    <row r="4216" spans="12:13" x14ac:dyDescent="0.25">
      <c r="L4216" s="65">
        <v>823141</v>
      </c>
      <c r="M4216" t="s">
        <v>3174</v>
      </c>
    </row>
    <row r="4217" spans="12:13" x14ac:dyDescent="0.25">
      <c r="L4217" s="65">
        <v>823150</v>
      </c>
      <c r="M4217" t="s">
        <v>3175</v>
      </c>
    </row>
    <row r="4218" spans="12:13" x14ac:dyDescent="0.25">
      <c r="L4218" s="65">
        <v>823151</v>
      </c>
      <c r="M4218" t="s">
        <v>3175</v>
      </c>
    </row>
    <row r="4219" spans="12:13" x14ac:dyDescent="0.25">
      <c r="L4219" s="65">
        <v>823160</v>
      </c>
      <c r="M4219" t="s">
        <v>3176</v>
      </c>
    </row>
    <row r="4220" spans="12:13" x14ac:dyDescent="0.25">
      <c r="L4220" s="65">
        <v>823161</v>
      </c>
      <c r="M4220" t="s">
        <v>3177</v>
      </c>
    </row>
    <row r="4221" spans="12:13" x14ac:dyDescent="0.25">
      <c r="L4221" s="65">
        <v>823162</v>
      </c>
      <c r="M4221" t="s">
        <v>3178</v>
      </c>
    </row>
    <row r="4222" spans="12:13" x14ac:dyDescent="0.25">
      <c r="L4222" s="65">
        <v>823165</v>
      </c>
      <c r="M4222" t="s">
        <v>3179</v>
      </c>
    </row>
    <row r="4223" spans="12:13" x14ac:dyDescent="0.25">
      <c r="L4223" s="65">
        <v>830000</v>
      </c>
      <c r="M4223" t="s">
        <v>3180</v>
      </c>
    </row>
    <row r="4224" spans="12:13" x14ac:dyDescent="0.25">
      <c r="L4224" s="65">
        <v>831000</v>
      </c>
      <c r="M4224" t="s">
        <v>3180</v>
      </c>
    </row>
    <row r="4225" spans="12:13" x14ac:dyDescent="0.25">
      <c r="L4225" s="65">
        <v>831100</v>
      </c>
      <c r="M4225" t="s">
        <v>3180</v>
      </c>
    </row>
    <row r="4226" spans="12:13" x14ac:dyDescent="0.25">
      <c r="L4226" s="65">
        <v>831120</v>
      </c>
      <c r="M4226" t="s">
        <v>3181</v>
      </c>
    </row>
    <row r="4227" spans="12:13" x14ac:dyDescent="0.25">
      <c r="L4227" s="65">
        <v>831121</v>
      </c>
      <c r="M4227" t="s">
        <v>3181</v>
      </c>
    </row>
    <row r="4228" spans="12:13" x14ac:dyDescent="0.25">
      <c r="L4228" s="65">
        <v>831130</v>
      </c>
      <c r="M4228" t="s">
        <v>3182</v>
      </c>
    </row>
    <row r="4229" spans="12:13" x14ac:dyDescent="0.25">
      <c r="L4229" s="65">
        <v>831131</v>
      </c>
      <c r="M4229" t="s">
        <v>3183</v>
      </c>
    </row>
    <row r="4230" spans="12:13" x14ac:dyDescent="0.25">
      <c r="L4230" s="65">
        <v>831132</v>
      </c>
      <c r="M4230" t="s">
        <v>3184</v>
      </c>
    </row>
    <row r="4231" spans="12:13" x14ac:dyDescent="0.25">
      <c r="L4231" s="65">
        <v>831140</v>
      </c>
      <c r="M4231" t="s">
        <v>3185</v>
      </c>
    </row>
    <row r="4232" spans="12:13" x14ac:dyDescent="0.25">
      <c r="L4232" s="65">
        <v>831141</v>
      </c>
      <c r="M4232" t="s">
        <v>3185</v>
      </c>
    </row>
    <row r="4233" spans="12:13" x14ac:dyDescent="0.25">
      <c r="L4233" s="65">
        <v>831150</v>
      </c>
      <c r="M4233" t="s">
        <v>3186</v>
      </c>
    </row>
    <row r="4234" spans="12:13" x14ac:dyDescent="0.25">
      <c r="L4234" s="65">
        <v>831151</v>
      </c>
      <c r="M4234" t="s">
        <v>3186</v>
      </c>
    </row>
    <row r="4235" spans="12:13" x14ac:dyDescent="0.25">
      <c r="L4235" s="65">
        <v>831160</v>
      </c>
      <c r="M4235" t="s">
        <v>3187</v>
      </c>
    </row>
    <row r="4236" spans="12:13" x14ac:dyDescent="0.25">
      <c r="L4236" s="65">
        <v>831161</v>
      </c>
      <c r="M4236" t="s">
        <v>3188</v>
      </c>
    </row>
    <row r="4237" spans="12:13" x14ac:dyDescent="0.25">
      <c r="L4237" s="65">
        <v>831162</v>
      </c>
      <c r="M4237" t="s">
        <v>3189</v>
      </c>
    </row>
    <row r="4238" spans="12:13" x14ac:dyDescent="0.25">
      <c r="L4238" s="65">
        <v>831165</v>
      </c>
      <c r="M4238" t="s">
        <v>3190</v>
      </c>
    </row>
    <row r="4239" spans="12:13" x14ac:dyDescent="0.25">
      <c r="L4239" s="65">
        <v>840000</v>
      </c>
      <c r="M4239" t="s">
        <v>3191</v>
      </c>
    </row>
    <row r="4240" spans="12:13" x14ac:dyDescent="0.25">
      <c r="L4240" s="65">
        <v>841000</v>
      </c>
      <c r="M4240" t="s">
        <v>3192</v>
      </c>
    </row>
    <row r="4241" spans="12:13" x14ac:dyDescent="0.25">
      <c r="L4241" s="65">
        <v>841100</v>
      </c>
      <c r="M4241" t="s">
        <v>3192</v>
      </c>
    </row>
    <row r="4242" spans="12:13" x14ac:dyDescent="0.25">
      <c r="L4242" s="65">
        <v>841120</v>
      </c>
      <c r="M4242" t="s">
        <v>3193</v>
      </c>
    </row>
    <row r="4243" spans="12:13" x14ac:dyDescent="0.25">
      <c r="L4243" s="65">
        <v>841121</v>
      </c>
      <c r="M4243" t="s">
        <v>3193</v>
      </c>
    </row>
    <row r="4244" spans="12:13" x14ac:dyDescent="0.25">
      <c r="L4244" s="65">
        <v>841130</v>
      </c>
      <c r="M4244" t="s">
        <v>3194</v>
      </c>
    </row>
    <row r="4245" spans="12:13" x14ac:dyDescent="0.25">
      <c r="L4245" s="65">
        <v>841131</v>
      </c>
      <c r="M4245" t="s">
        <v>3194</v>
      </c>
    </row>
    <row r="4246" spans="12:13" x14ac:dyDescent="0.25">
      <c r="L4246" s="65">
        <v>841140</v>
      </c>
      <c r="M4246" t="s">
        <v>3195</v>
      </c>
    </row>
    <row r="4247" spans="12:13" x14ac:dyDescent="0.25">
      <c r="L4247" s="65">
        <v>841141</v>
      </c>
      <c r="M4247" t="s">
        <v>3195</v>
      </c>
    </row>
    <row r="4248" spans="12:13" x14ac:dyDescent="0.25">
      <c r="L4248" s="65">
        <v>841150</v>
      </c>
      <c r="M4248" t="s">
        <v>3196</v>
      </c>
    </row>
    <row r="4249" spans="12:13" x14ac:dyDescent="0.25">
      <c r="L4249" s="65">
        <v>841151</v>
      </c>
      <c r="M4249" t="s">
        <v>3196</v>
      </c>
    </row>
    <row r="4250" spans="12:13" x14ac:dyDescent="0.25">
      <c r="L4250" s="65">
        <v>841160</v>
      </c>
      <c r="M4250" t="s">
        <v>3197</v>
      </c>
    </row>
    <row r="4251" spans="12:13" x14ac:dyDescent="0.25">
      <c r="L4251" s="65">
        <v>841161</v>
      </c>
      <c r="M4251" t="s">
        <v>3198</v>
      </c>
    </row>
    <row r="4252" spans="12:13" x14ac:dyDescent="0.25">
      <c r="L4252" s="65">
        <v>841162</v>
      </c>
      <c r="M4252" t="s">
        <v>3199</v>
      </c>
    </row>
    <row r="4253" spans="12:13" x14ac:dyDescent="0.25">
      <c r="L4253" s="65">
        <v>841165</v>
      </c>
      <c r="M4253" t="s">
        <v>3200</v>
      </c>
    </row>
    <row r="4254" spans="12:13" x14ac:dyDescent="0.25">
      <c r="L4254" s="65">
        <v>842000</v>
      </c>
      <c r="M4254" t="s">
        <v>3201</v>
      </c>
    </row>
    <row r="4255" spans="12:13" x14ac:dyDescent="0.25">
      <c r="L4255" s="65">
        <v>842100</v>
      </c>
      <c r="M4255" t="s">
        <v>3201</v>
      </c>
    </row>
    <row r="4256" spans="12:13" x14ac:dyDescent="0.25">
      <c r="L4256" s="65">
        <v>842120</v>
      </c>
      <c r="M4256" t="s">
        <v>3202</v>
      </c>
    </row>
    <row r="4257" spans="12:13" x14ac:dyDescent="0.25">
      <c r="L4257" s="65">
        <v>842121</v>
      </c>
      <c r="M4257" t="s">
        <v>3202</v>
      </c>
    </row>
    <row r="4258" spans="12:13" x14ac:dyDescent="0.25">
      <c r="L4258" s="65">
        <v>842130</v>
      </c>
      <c r="M4258" t="s">
        <v>3203</v>
      </c>
    </row>
    <row r="4259" spans="12:13" x14ac:dyDescent="0.25">
      <c r="L4259" s="65">
        <v>842131</v>
      </c>
      <c r="M4259" t="s">
        <v>3203</v>
      </c>
    </row>
    <row r="4260" spans="12:13" x14ac:dyDescent="0.25">
      <c r="L4260" s="65">
        <v>842140</v>
      </c>
      <c r="M4260" t="s">
        <v>3204</v>
      </c>
    </row>
    <row r="4261" spans="12:13" x14ac:dyDescent="0.25">
      <c r="L4261" s="65">
        <v>842141</v>
      </c>
      <c r="M4261" t="s">
        <v>3204</v>
      </c>
    </row>
    <row r="4262" spans="12:13" x14ac:dyDescent="0.25">
      <c r="L4262" s="65">
        <v>842150</v>
      </c>
      <c r="M4262" t="s">
        <v>3205</v>
      </c>
    </row>
    <row r="4263" spans="12:13" x14ac:dyDescent="0.25">
      <c r="L4263" s="65">
        <v>842151</v>
      </c>
      <c r="M4263" t="s">
        <v>3205</v>
      </c>
    </row>
    <row r="4264" spans="12:13" x14ac:dyDescent="0.25">
      <c r="L4264" s="65">
        <v>842160</v>
      </c>
      <c r="M4264" t="s">
        <v>3206</v>
      </c>
    </row>
    <row r="4265" spans="12:13" x14ac:dyDescent="0.25">
      <c r="L4265" s="65">
        <v>842161</v>
      </c>
      <c r="M4265" t="s">
        <v>3207</v>
      </c>
    </row>
    <row r="4266" spans="12:13" x14ac:dyDescent="0.25">
      <c r="L4266" s="65">
        <v>842162</v>
      </c>
      <c r="M4266" t="s">
        <v>3208</v>
      </c>
    </row>
    <row r="4267" spans="12:13" x14ac:dyDescent="0.25">
      <c r="L4267" s="65">
        <v>842165</v>
      </c>
      <c r="M4267" t="s">
        <v>3209</v>
      </c>
    </row>
    <row r="4268" spans="12:13" x14ac:dyDescent="0.25">
      <c r="L4268" s="65">
        <v>843000</v>
      </c>
      <c r="M4268" t="s">
        <v>3210</v>
      </c>
    </row>
    <row r="4269" spans="12:13" x14ac:dyDescent="0.25">
      <c r="L4269" s="65">
        <v>843100</v>
      </c>
      <c r="M4269" t="s">
        <v>3210</v>
      </c>
    </row>
    <row r="4270" spans="12:13" x14ac:dyDescent="0.25">
      <c r="L4270" s="65">
        <v>843120</v>
      </c>
      <c r="M4270" t="s">
        <v>3211</v>
      </c>
    </row>
    <row r="4271" spans="12:13" x14ac:dyDescent="0.25">
      <c r="L4271" s="65">
        <v>843121</v>
      </c>
      <c r="M4271" t="s">
        <v>3211</v>
      </c>
    </row>
    <row r="4272" spans="12:13" x14ac:dyDescent="0.25">
      <c r="L4272" s="65">
        <v>843130</v>
      </c>
      <c r="M4272" t="s">
        <v>3212</v>
      </c>
    </row>
    <row r="4273" spans="12:13" x14ac:dyDescent="0.25">
      <c r="L4273" s="65">
        <v>843131</v>
      </c>
      <c r="M4273" t="s">
        <v>3212</v>
      </c>
    </row>
    <row r="4274" spans="12:13" x14ac:dyDescent="0.25">
      <c r="L4274" s="65">
        <v>843140</v>
      </c>
      <c r="M4274" t="s">
        <v>3213</v>
      </c>
    </row>
    <row r="4275" spans="12:13" x14ac:dyDescent="0.25">
      <c r="L4275" s="65">
        <v>843141</v>
      </c>
      <c r="M4275" t="s">
        <v>3213</v>
      </c>
    </row>
    <row r="4276" spans="12:13" x14ac:dyDescent="0.25">
      <c r="L4276" s="65">
        <v>843150</v>
      </c>
      <c r="M4276" t="s">
        <v>3214</v>
      </c>
    </row>
    <row r="4277" spans="12:13" x14ac:dyDescent="0.25">
      <c r="L4277" s="65">
        <v>843151</v>
      </c>
      <c r="M4277" t="s">
        <v>3214</v>
      </c>
    </row>
    <row r="4278" spans="12:13" x14ac:dyDescent="0.25">
      <c r="L4278" s="65">
        <v>843160</v>
      </c>
      <c r="M4278" t="s">
        <v>3215</v>
      </c>
    </row>
    <row r="4279" spans="12:13" x14ac:dyDescent="0.25">
      <c r="L4279" s="65">
        <v>843161</v>
      </c>
      <c r="M4279" t="s">
        <v>3216</v>
      </c>
    </row>
    <row r="4280" spans="12:13" x14ac:dyDescent="0.25">
      <c r="L4280" s="65">
        <v>843162</v>
      </c>
      <c r="M4280" t="s">
        <v>3217</v>
      </c>
    </row>
    <row r="4281" spans="12:13" x14ac:dyDescent="0.25">
      <c r="L4281" s="65">
        <v>843165</v>
      </c>
      <c r="M4281" t="s">
        <v>3218</v>
      </c>
    </row>
    <row r="4282" spans="12:13" x14ac:dyDescent="0.25">
      <c r="L4282" s="65">
        <v>900000</v>
      </c>
      <c r="M4282" t="s">
        <v>3220</v>
      </c>
    </row>
    <row r="4283" spans="12:13" x14ac:dyDescent="0.25">
      <c r="L4283" s="65">
        <v>910000</v>
      </c>
      <c r="M4283" t="s">
        <v>3222</v>
      </c>
    </row>
    <row r="4284" spans="12:13" x14ac:dyDescent="0.25">
      <c r="L4284" s="65">
        <v>911000</v>
      </c>
      <c r="M4284" t="s">
        <v>3223</v>
      </c>
    </row>
    <row r="4285" spans="12:13" x14ac:dyDescent="0.25">
      <c r="L4285" s="65">
        <v>911100</v>
      </c>
      <c r="M4285" t="s">
        <v>3224</v>
      </c>
    </row>
    <row r="4286" spans="12:13" x14ac:dyDescent="0.25">
      <c r="L4286" s="65">
        <v>911120</v>
      </c>
      <c r="M4286" t="s">
        <v>3225</v>
      </c>
    </row>
    <row r="4287" spans="12:13" x14ac:dyDescent="0.25">
      <c r="L4287" s="65">
        <v>911121</v>
      </c>
      <c r="M4287" t="s">
        <v>3225</v>
      </c>
    </row>
    <row r="4288" spans="12:13" x14ac:dyDescent="0.25">
      <c r="L4288" s="65">
        <v>911130</v>
      </c>
      <c r="M4288" t="s">
        <v>3226</v>
      </c>
    </row>
    <row r="4289" spans="12:13" x14ac:dyDescent="0.25">
      <c r="L4289" s="65">
        <v>911131</v>
      </c>
      <c r="M4289" t="s">
        <v>3227</v>
      </c>
    </row>
    <row r="4290" spans="12:13" x14ac:dyDescent="0.25">
      <c r="L4290" s="65">
        <v>911132</v>
      </c>
      <c r="M4290" t="s">
        <v>3228</v>
      </c>
    </row>
    <row r="4291" spans="12:13" x14ac:dyDescent="0.25">
      <c r="L4291" s="65">
        <v>911140</v>
      </c>
      <c r="M4291" t="s">
        <v>3229</v>
      </c>
    </row>
    <row r="4292" spans="12:13" x14ac:dyDescent="0.25">
      <c r="L4292" s="65">
        <v>911141</v>
      </c>
      <c r="M4292" t="s">
        <v>3229</v>
      </c>
    </row>
    <row r="4293" spans="12:13" x14ac:dyDescent="0.25">
      <c r="L4293" s="65">
        <v>911150</v>
      </c>
      <c r="M4293" t="s">
        <v>3230</v>
      </c>
    </row>
    <row r="4294" spans="12:13" x14ac:dyDescent="0.25">
      <c r="L4294" s="65">
        <v>911151</v>
      </c>
      <c r="M4294" t="s">
        <v>3230</v>
      </c>
    </row>
    <row r="4295" spans="12:13" x14ac:dyDescent="0.25">
      <c r="L4295" s="65">
        <v>911160</v>
      </c>
      <c r="M4295" t="s">
        <v>3231</v>
      </c>
    </row>
    <row r="4296" spans="12:13" x14ac:dyDescent="0.25">
      <c r="L4296" s="65">
        <v>911161</v>
      </c>
      <c r="M4296" t="s">
        <v>3232</v>
      </c>
    </row>
    <row r="4297" spans="12:13" x14ac:dyDescent="0.25">
      <c r="L4297" s="65">
        <v>911162</v>
      </c>
      <c r="M4297" t="s">
        <v>3233</v>
      </c>
    </row>
    <row r="4298" spans="12:13" x14ac:dyDescent="0.25">
      <c r="L4298" s="65">
        <v>911165</v>
      </c>
      <c r="M4298" t="s">
        <v>3234</v>
      </c>
    </row>
    <row r="4299" spans="12:13" x14ac:dyDescent="0.25">
      <c r="L4299" s="65">
        <v>911200</v>
      </c>
      <c r="M4299" t="s">
        <v>3235</v>
      </c>
    </row>
    <row r="4300" spans="12:13" x14ac:dyDescent="0.25">
      <c r="L4300" s="65">
        <v>911220</v>
      </c>
      <c r="M4300" t="s">
        <v>3236</v>
      </c>
    </row>
    <row r="4301" spans="12:13" x14ac:dyDescent="0.25">
      <c r="L4301" s="65">
        <v>911221</v>
      </c>
      <c r="M4301" t="s">
        <v>3236</v>
      </c>
    </row>
    <row r="4302" spans="12:13" x14ac:dyDescent="0.25">
      <c r="L4302" s="65">
        <v>911230</v>
      </c>
      <c r="M4302" t="s">
        <v>3237</v>
      </c>
    </row>
    <row r="4303" spans="12:13" x14ac:dyDescent="0.25">
      <c r="L4303" s="65">
        <v>911231</v>
      </c>
      <c r="M4303" t="s">
        <v>3238</v>
      </c>
    </row>
    <row r="4304" spans="12:13" x14ac:dyDescent="0.25">
      <c r="L4304" s="65">
        <v>911232</v>
      </c>
      <c r="M4304" t="s">
        <v>3239</v>
      </c>
    </row>
    <row r="4305" spans="12:13" x14ac:dyDescent="0.25">
      <c r="L4305" s="65">
        <v>911240</v>
      </c>
      <c r="M4305" t="s">
        <v>3240</v>
      </c>
    </row>
    <row r="4306" spans="12:13" x14ac:dyDescent="0.25">
      <c r="L4306" s="65">
        <v>911241</v>
      </c>
      <c r="M4306" t="s">
        <v>3240</v>
      </c>
    </row>
    <row r="4307" spans="12:13" x14ac:dyDescent="0.25">
      <c r="L4307" s="65">
        <v>911250</v>
      </c>
      <c r="M4307" t="s">
        <v>3241</v>
      </c>
    </row>
    <row r="4308" spans="12:13" x14ac:dyDescent="0.25">
      <c r="L4308" s="65">
        <v>911251</v>
      </c>
      <c r="M4308" t="s">
        <v>3241</v>
      </c>
    </row>
    <row r="4309" spans="12:13" x14ac:dyDescent="0.25">
      <c r="L4309" s="65">
        <v>911260</v>
      </c>
      <c r="M4309" t="s">
        <v>3242</v>
      </c>
    </row>
    <row r="4310" spans="12:13" x14ac:dyDescent="0.25">
      <c r="L4310" s="65">
        <v>911261</v>
      </c>
      <c r="M4310" t="s">
        <v>3243</v>
      </c>
    </row>
    <row r="4311" spans="12:13" x14ac:dyDescent="0.25">
      <c r="L4311" s="65">
        <v>911262</v>
      </c>
      <c r="M4311" t="s">
        <v>3244</v>
      </c>
    </row>
    <row r="4312" spans="12:13" x14ac:dyDescent="0.25">
      <c r="L4312" s="65">
        <v>911265</v>
      </c>
      <c r="M4312" t="s">
        <v>3245</v>
      </c>
    </row>
    <row r="4313" spans="12:13" x14ac:dyDescent="0.25">
      <c r="L4313" s="65">
        <v>911300</v>
      </c>
      <c r="M4313" t="s">
        <v>3246</v>
      </c>
    </row>
    <row r="4314" spans="12:13" x14ac:dyDescent="0.25">
      <c r="L4314" s="65">
        <v>911320</v>
      </c>
      <c r="M4314" t="s">
        <v>3247</v>
      </c>
    </row>
    <row r="4315" spans="12:13" x14ac:dyDescent="0.25">
      <c r="L4315" s="65">
        <v>911321</v>
      </c>
      <c r="M4315" t="s">
        <v>3247</v>
      </c>
    </row>
    <row r="4316" spans="12:13" x14ac:dyDescent="0.25">
      <c r="L4316" s="65">
        <v>911330</v>
      </c>
      <c r="M4316" t="s">
        <v>3248</v>
      </c>
    </row>
    <row r="4317" spans="12:13" x14ac:dyDescent="0.25">
      <c r="L4317" s="65">
        <v>911331</v>
      </c>
      <c r="M4317" t="s">
        <v>3248</v>
      </c>
    </row>
    <row r="4318" spans="12:13" x14ac:dyDescent="0.25">
      <c r="L4318" s="65">
        <v>911340</v>
      </c>
      <c r="M4318" t="s">
        <v>3249</v>
      </c>
    </row>
    <row r="4319" spans="12:13" x14ac:dyDescent="0.25">
      <c r="L4319" s="65">
        <v>911341</v>
      </c>
      <c r="M4319" t="s">
        <v>3249</v>
      </c>
    </row>
    <row r="4320" spans="12:13" x14ac:dyDescent="0.25">
      <c r="L4320" s="65">
        <v>911350</v>
      </c>
      <c r="M4320" t="s">
        <v>3250</v>
      </c>
    </row>
    <row r="4321" spans="12:13" x14ac:dyDescent="0.25">
      <c r="L4321" s="65">
        <v>911351</v>
      </c>
      <c r="M4321" t="s">
        <v>3250</v>
      </c>
    </row>
    <row r="4322" spans="12:13" x14ac:dyDescent="0.25">
      <c r="L4322" s="65">
        <v>911360</v>
      </c>
      <c r="M4322" t="s">
        <v>3251</v>
      </c>
    </row>
    <row r="4323" spans="12:13" x14ac:dyDescent="0.25">
      <c r="L4323" s="65">
        <v>911361</v>
      </c>
      <c r="M4323" t="s">
        <v>3252</v>
      </c>
    </row>
    <row r="4324" spans="12:13" x14ac:dyDescent="0.25">
      <c r="L4324" s="65">
        <v>911362</v>
      </c>
      <c r="M4324" t="s">
        <v>3253</v>
      </c>
    </row>
    <row r="4325" spans="12:13" x14ac:dyDescent="0.25">
      <c r="L4325" s="65">
        <v>911365</v>
      </c>
      <c r="M4325" t="s">
        <v>3254</v>
      </c>
    </row>
    <row r="4326" spans="12:13" x14ac:dyDescent="0.25">
      <c r="L4326" s="65">
        <v>911400</v>
      </c>
      <c r="M4326" t="s">
        <v>3255</v>
      </c>
    </row>
    <row r="4327" spans="12:13" x14ac:dyDescent="0.25">
      <c r="L4327" s="65">
        <v>911420</v>
      </c>
      <c r="M4327" t="s">
        <v>3256</v>
      </c>
    </row>
    <row r="4328" spans="12:13" x14ac:dyDescent="0.25">
      <c r="L4328" s="65">
        <v>911421</v>
      </c>
      <c r="M4328" t="s">
        <v>3256</v>
      </c>
    </row>
    <row r="4329" spans="12:13" x14ac:dyDescent="0.25">
      <c r="L4329" s="65">
        <v>911430</v>
      </c>
      <c r="M4329" t="s">
        <v>3257</v>
      </c>
    </row>
    <row r="4330" spans="12:13" x14ac:dyDescent="0.25">
      <c r="L4330" s="65">
        <v>911431</v>
      </c>
      <c r="M4330" t="s">
        <v>3258</v>
      </c>
    </row>
    <row r="4331" spans="12:13" x14ac:dyDescent="0.25">
      <c r="L4331" s="65">
        <v>911432</v>
      </c>
      <c r="M4331" t="s">
        <v>3259</v>
      </c>
    </row>
    <row r="4332" spans="12:13" x14ac:dyDescent="0.25">
      <c r="L4332" s="65">
        <v>911440</v>
      </c>
      <c r="M4332" t="s">
        <v>3260</v>
      </c>
    </row>
    <row r="4333" spans="12:13" x14ac:dyDescent="0.25">
      <c r="L4333" s="65">
        <v>911441</v>
      </c>
      <c r="M4333" t="s">
        <v>3260</v>
      </c>
    </row>
    <row r="4334" spans="12:13" x14ac:dyDescent="0.25">
      <c r="L4334" s="65">
        <v>911450</v>
      </c>
      <c r="M4334" t="s">
        <v>3262</v>
      </c>
    </row>
    <row r="4335" spans="12:13" x14ac:dyDescent="0.25">
      <c r="L4335" s="65">
        <v>911451</v>
      </c>
      <c r="M4335" t="s">
        <v>3262</v>
      </c>
    </row>
    <row r="4336" spans="12:13" x14ac:dyDescent="0.25">
      <c r="L4336" s="65">
        <v>911460</v>
      </c>
      <c r="M4336" t="s">
        <v>3263</v>
      </c>
    </row>
    <row r="4337" spans="12:13" x14ac:dyDescent="0.25">
      <c r="L4337" s="65">
        <v>911461</v>
      </c>
      <c r="M4337" t="s">
        <v>3264</v>
      </c>
    </row>
    <row r="4338" spans="12:13" x14ac:dyDescent="0.25">
      <c r="L4338" s="65">
        <v>911462</v>
      </c>
      <c r="M4338" t="s">
        <v>3265</v>
      </c>
    </row>
    <row r="4339" spans="12:13" x14ac:dyDescent="0.25">
      <c r="L4339" s="65">
        <v>911465</v>
      </c>
      <c r="M4339" t="s">
        <v>3266</v>
      </c>
    </row>
    <row r="4340" spans="12:13" x14ac:dyDescent="0.25">
      <c r="L4340" s="65">
        <v>911500</v>
      </c>
      <c r="M4340" t="s">
        <v>3267</v>
      </c>
    </row>
    <row r="4341" spans="12:13" x14ac:dyDescent="0.25">
      <c r="L4341" s="65">
        <v>911520</v>
      </c>
      <c r="M4341" t="s">
        <v>3268</v>
      </c>
    </row>
    <row r="4342" spans="12:13" x14ac:dyDescent="0.25">
      <c r="L4342" s="65">
        <v>911521</v>
      </c>
      <c r="M4342" t="s">
        <v>3268</v>
      </c>
    </row>
    <row r="4343" spans="12:13" x14ac:dyDescent="0.25">
      <c r="L4343" s="65">
        <v>911530</v>
      </c>
      <c r="M4343" t="s">
        <v>3269</v>
      </c>
    </row>
    <row r="4344" spans="12:13" x14ac:dyDescent="0.25">
      <c r="L4344" s="65">
        <v>911531</v>
      </c>
      <c r="M4344" t="s">
        <v>3270</v>
      </c>
    </row>
    <row r="4345" spans="12:13" x14ac:dyDescent="0.25">
      <c r="L4345" s="65">
        <v>911532</v>
      </c>
      <c r="M4345" t="s">
        <v>3271</v>
      </c>
    </row>
    <row r="4346" spans="12:13" x14ac:dyDescent="0.25">
      <c r="L4346" s="65">
        <v>911540</v>
      </c>
      <c r="M4346" t="s">
        <v>3272</v>
      </c>
    </row>
    <row r="4347" spans="12:13" x14ac:dyDescent="0.25">
      <c r="L4347" s="65">
        <v>911541</v>
      </c>
      <c r="M4347" t="s">
        <v>3272</v>
      </c>
    </row>
    <row r="4348" spans="12:13" x14ac:dyDescent="0.25">
      <c r="L4348" s="65">
        <v>911550</v>
      </c>
      <c r="M4348" t="s">
        <v>3273</v>
      </c>
    </row>
    <row r="4349" spans="12:13" x14ac:dyDescent="0.25">
      <c r="L4349" s="65">
        <v>911551</v>
      </c>
      <c r="M4349" t="s">
        <v>3273</v>
      </c>
    </row>
    <row r="4350" spans="12:13" x14ac:dyDescent="0.25">
      <c r="L4350" s="65">
        <v>911560</v>
      </c>
      <c r="M4350" t="s">
        <v>3274</v>
      </c>
    </row>
    <row r="4351" spans="12:13" x14ac:dyDescent="0.25">
      <c r="L4351" s="65">
        <v>911561</v>
      </c>
      <c r="M4351" t="s">
        <v>3275</v>
      </c>
    </row>
    <row r="4352" spans="12:13" x14ac:dyDescent="0.25">
      <c r="L4352" s="65">
        <v>911562</v>
      </c>
      <c r="M4352" t="s">
        <v>3276</v>
      </c>
    </row>
    <row r="4353" spans="12:13" x14ac:dyDescent="0.25">
      <c r="L4353" s="65">
        <v>911565</v>
      </c>
      <c r="M4353" t="s">
        <v>3277</v>
      </c>
    </row>
    <row r="4354" spans="12:13" x14ac:dyDescent="0.25">
      <c r="L4354" s="65">
        <v>911600</v>
      </c>
      <c r="M4354" t="s">
        <v>3278</v>
      </c>
    </row>
    <row r="4355" spans="12:13" x14ac:dyDescent="0.25">
      <c r="L4355" s="65">
        <v>911620</v>
      </c>
      <c r="M4355" t="s">
        <v>3279</v>
      </c>
    </row>
    <row r="4356" spans="12:13" x14ac:dyDescent="0.25">
      <c r="L4356" s="65">
        <v>911621</v>
      </c>
      <c r="M4356" t="s">
        <v>3279</v>
      </c>
    </row>
    <row r="4357" spans="12:13" x14ac:dyDescent="0.25">
      <c r="L4357" s="65">
        <v>911630</v>
      </c>
      <c r="M4357" t="s">
        <v>3280</v>
      </c>
    </row>
    <row r="4358" spans="12:13" x14ac:dyDescent="0.25">
      <c r="L4358" s="65">
        <v>911631</v>
      </c>
      <c r="M4358" t="s">
        <v>3280</v>
      </c>
    </row>
    <row r="4359" spans="12:13" x14ac:dyDescent="0.25">
      <c r="L4359" s="65">
        <v>911640</v>
      </c>
      <c r="M4359" t="s">
        <v>3281</v>
      </c>
    </row>
    <row r="4360" spans="12:13" x14ac:dyDescent="0.25">
      <c r="L4360" s="65">
        <v>911641</v>
      </c>
      <c r="M4360" t="s">
        <v>3281</v>
      </c>
    </row>
    <row r="4361" spans="12:13" x14ac:dyDescent="0.25">
      <c r="L4361" s="65">
        <v>911650</v>
      </c>
      <c r="M4361" t="s">
        <v>3282</v>
      </c>
    </row>
    <row r="4362" spans="12:13" x14ac:dyDescent="0.25">
      <c r="L4362" s="65">
        <v>911651</v>
      </c>
      <c r="M4362" t="s">
        <v>3282</v>
      </c>
    </row>
    <row r="4363" spans="12:13" x14ac:dyDescent="0.25">
      <c r="L4363" s="65">
        <v>911660</v>
      </c>
      <c r="M4363" t="s">
        <v>3283</v>
      </c>
    </row>
    <row r="4364" spans="12:13" x14ac:dyDescent="0.25">
      <c r="L4364" s="65">
        <v>911661</v>
      </c>
      <c r="M4364" t="s">
        <v>3284</v>
      </c>
    </row>
    <row r="4365" spans="12:13" x14ac:dyDescent="0.25">
      <c r="L4365" s="65">
        <v>911662</v>
      </c>
      <c r="M4365" t="s">
        <v>3285</v>
      </c>
    </row>
    <row r="4366" spans="12:13" x14ac:dyDescent="0.25">
      <c r="L4366" s="65">
        <v>911665</v>
      </c>
      <c r="M4366" t="s">
        <v>3286</v>
      </c>
    </row>
    <row r="4367" spans="12:13" x14ac:dyDescent="0.25">
      <c r="L4367" s="65">
        <v>911700</v>
      </c>
      <c r="M4367" t="s">
        <v>3287</v>
      </c>
    </row>
    <row r="4368" spans="12:13" x14ac:dyDescent="0.25">
      <c r="L4368" s="65">
        <v>911720</v>
      </c>
      <c r="M4368" t="s">
        <v>3288</v>
      </c>
    </row>
    <row r="4369" spans="12:13" x14ac:dyDescent="0.25">
      <c r="L4369" s="65">
        <v>911721</v>
      </c>
      <c r="M4369" t="s">
        <v>3288</v>
      </c>
    </row>
    <row r="4370" spans="12:13" x14ac:dyDescent="0.25">
      <c r="L4370" s="65">
        <v>911730</v>
      </c>
      <c r="M4370" t="s">
        <v>3289</v>
      </c>
    </row>
    <row r="4371" spans="12:13" x14ac:dyDescent="0.25">
      <c r="L4371" s="65">
        <v>911731</v>
      </c>
      <c r="M4371" t="s">
        <v>3289</v>
      </c>
    </row>
    <row r="4372" spans="12:13" x14ac:dyDescent="0.25">
      <c r="L4372" s="65">
        <v>911740</v>
      </c>
      <c r="M4372" t="s">
        <v>3290</v>
      </c>
    </row>
    <row r="4373" spans="12:13" x14ac:dyDescent="0.25">
      <c r="L4373" s="65">
        <v>911741</v>
      </c>
      <c r="M4373" t="s">
        <v>3290</v>
      </c>
    </row>
    <row r="4374" spans="12:13" x14ac:dyDescent="0.25">
      <c r="L4374" s="65">
        <v>911750</v>
      </c>
      <c r="M4374" t="s">
        <v>3291</v>
      </c>
    </row>
    <row r="4375" spans="12:13" x14ac:dyDescent="0.25">
      <c r="L4375" s="65">
        <v>911751</v>
      </c>
      <c r="M4375" t="s">
        <v>3291</v>
      </c>
    </row>
    <row r="4376" spans="12:13" x14ac:dyDescent="0.25">
      <c r="L4376" s="65">
        <v>911760</v>
      </c>
      <c r="M4376" t="s">
        <v>3292</v>
      </c>
    </row>
    <row r="4377" spans="12:13" x14ac:dyDescent="0.25">
      <c r="L4377" s="65">
        <v>911761</v>
      </c>
      <c r="M4377" t="s">
        <v>3293</v>
      </c>
    </row>
    <row r="4378" spans="12:13" x14ac:dyDescent="0.25">
      <c r="L4378" s="65">
        <v>911762</v>
      </c>
      <c r="M4378" t="s">
        <v>3294</v>
      </c>
    </row>
    <row r="4379" spans="12:13" x14ac:dyDescent="0.25">
      <c r="L4379" s="65">
        <v>911765</v>
      </c>
      <c r="M4379" t="s">
        <v>3295</v>
      </c>
    </row>
    <row r="4380" spans="12:13" x14ac:dyDescent="0.25">
      <c r="L4380" s="65">
        <v>911800</v>
      </c>
      <c r="M4380" t="s">
        <v>3296</v>
      </c>
    </row>
    <row r="4381" spans="12:13" x14ac:dyDescent="0.25">
      <c r="L4381" s="65">
        <v>911820</v>
      </c>
      <c r="M4381" t="s">
        <v>3297</v>
      </c>
    </row>
    <row r="4382" spans="12:13" x14ac:dyDescent="0.25">
      <c r="L4382" s="65">
        <v>911821</v>
      </c>
      <c r="M4382" t="s">
        <v>3297</v>
      </c>
    </row>
    <row r="4383" spans="12:13" x14ac:dyDescent="0.25">
      <c r="L4383" s="65">
        <v>911830</v>
      </c>
      <c r="M4383" t="s">
        <v>3298</v>
      </c>
    </row>
    <row r="4384" spans="12:13" x14ac:dyDescent="0.25">
      <c r="L4384" s="65">
        <v>911831</v>
      </c>
      <c r="M4384" t="s">
        <v>3299</v>
      </c>
    </row>
    <row r="4385" spans="12:13" x14ac:dyDescent="0.25">
      <c r="L4385" s="65">
        <v>911832</v>
      </c>
      <c r="M4385" t="s">
        <v>3300</v>
      </c>
    </row>
    <row r="4386" spans="12:13" x14ac:dyDescent="0.25">
      <c r="L4386" s="65">
        <v>911840</v>
      </c>
      <c r="M4386" t="s">
        <v>3301</v>
      </c>
    </row>
    <row r="4387" spans="12:13" x14ac:dyDescent="0.25">
      <c r="L4387" s="65">
        <v>911841</v>
      </c>
      <c r="M4387" t="s">
        <v>3301</v>
      </c>
    </row>
    <row r="4388" spans="12:13" x14ac:dyDescent="0.25">
      <c r="L4388" s="65">
        <v>911850</v>
      </c>
      <c r="M4388" t="s">
        <v>3302</v>
      </c>
    </row>
    <row r="4389" spans="12:13" x14ac:dyDescent="0.25">
      <c r="L4389" s="65">
        <v>911851</v>
      </c>
      <c r="M4389" t="s">
        <v>3302</v>
      </c>
    </row>
    <row r="4390" spans="12:13" x14ac:dyDescent="0.25">
      <c r="L4390" s="65">
        <v>911860</v>
      </c>
      <c r="M4390" t="s">
        <v>3303</v>
      </c>
    </row>
    <row r="4391" spans="12:13" x14ac:dyDescent="0.25">
      <c r="L4391" s="65">
        <v>911861</v>
      </c>
      <c r="M4391" t="s">
        <v>3304</v>
      </c>
    </row>
    <row r="4392" spans="12:13" x14ac:dyDescent="0.25">
      <c r="L4392" s="65">
        <v>911862</v>
      </c>
      <c r="M4392" t="s">
        <v>3305</v>
      </c>
    </row>
    <row r="4393" spans="12:13" x14ac:dyDescent="0.25">
      <c r="L4393" s="65">
        <v>911865</v>
      </c>
      <c r="M4393" t="s">
        <v>3306</v>
      </c>
    </row>
    <row r="4394" spans="12:13" x14ac:dyDescent="0.25">
      <c r="L4394" s="65">
        <v>911900</v>
      </c>
      <c r="M4394" t="s">
        <v>1986</v>
      </c>
    </row>
    <row r="4395" spans="12:13" x14ac:dyDescent="0.25">
      <c r="L4395" s="65">
        <v>911920</v>
      </c>
      <c r="M4395" t="s">
        <v>3307</v>
      </c>
    </row>
    <row r="4396" spans="12:13" x14ac:dyDescent="0.25">
      <c r="L4396" s="65">
        <v>911921</v>
      </c>
      <c r="M4396" t="s">
        <v>3307</v>
      </c>
    </row>
    <row r="4397" spans="12:13" x14ac:dyDescent="0.25">
      <c r="L4397" s="65">
        <v>911930</v>
      </c>
      <c r="M4397" t="s">
        <v>3308</v>
      </c>
    </row>
    <row r="4398" spans="12:13" x14ac:dyDescent="0.25">
      <c r="L4398" s="65">
        <v>911931</v>
      </c>
      <c r="M4398" t="s">
        <v>3309</v>
      </c>
    </row>
    <row r="4399" spans="12:13" x14ac:dyDescent="0.25">
      <c r="L4399" s="65">
        <v>911932</v>
      </c>
      <c r="M4399" t="s">
        <v>3310</v>
      </c>
    </row>
    <row r="4400" spans="12:13" x14ac:dyDescent="0.25">
      <c r="L4400" s="65">
        <v>911940</v>
      </c>
      <c r="M4400" t="s">
        <v>3311</v>
      </c>
    </row>
    <row r="4401" spans="12:13" x14ac:dyDescent="0.25">
      <c r="L4401" s="65">
        <v>911941</v>
      </c>
      <c r="M4401" t="s">
        <v>3311</v>
      </c>
    </row>
    <row r="4402" spans="12:13" x14ac:dyDescent="0.25">
      <c r="L4402" s="65">
        <v>911950</v>
      </c>
      <c r="M4402" t="s">
        <v>3312</v>
      </c>
    </row>
    <row r="4403" spans="12:13" x14ac:dyDescent="0.25">
      <c r="L4403" s="65">
        <v>911951</v>
      </c>
      <c r="M4403" t="s">
        <v>3312</v>
      </c>
    </row>
    <row r="4404" spans="12:13" x14ac:dyDescent="0.25">
      <c r="L4404" s="65">
        <v>911960</v>
      </c>
      <c r="M4404" t="s">
        <v>3313</v>
      </c>
    </row>
    <row r="4405" spans="12:13" x14ac:dyDescent="0.25">
      <c r="L4405" s="65">
        <v>911961</v>
      </c>
      <c r="M4405" t="s">
        <v>3314</v>
      </c>
    </row>
    <row r="4406" spans="12:13" x14ac:dyDescent="0.25">
      <c r="L4406" s="65">
        <v>911962</v>
      </c>
      <c r="M4406" t="s">
        <v>3315</v>
      </c>
    </row>
    <row r="4407" spans="12:13" x14ac:dyDescent="0.25">
      <c r="L4407" s="65">
        <v>911965</v>
      </c>
      <c r="M4407" t="s">
        <v>3316</v>
      </c>
    </row>
    <row r="4408" spans="12:13" x14ac:dyDescent="0.25">
      <c r="L4408" s="65">
        <v>912000</v>
      </c>
      <c r="M4408" t="s">
        <v>3317</v>
      </c>
    </row>
    <row r="4409" spans="12:13" x14ac:dyDescent="0.25">
      <c r="L4409" s="65">
        <v>912100</v>
      </c>
      <c r="M4409" t="s">
        <v>3318</v>
      </c>
    </row>
    <row r="4410" spans="12:13" x14ac:dyDescent="0.25">
      <c r="L4410" s="65">
        <v>912120</v>
      </c>
      <c r="M4410" t="s">
        <v>3319</v>
      </c>
    </row>
    <row r="4411" spans="12:13" x14ac:dyDescent="0.25">
      <c r="L4411" s="65">
        <v>912121</v>
      </c>
      <c r="M4411" t="s">
        <v>3319</v>
      </c>
    </row>
    <row r="4412" spans="12:13" x14ac:dyDescent="0.25">
      <c r="L4412" s="65">
        <v>912130</v>
      </c>
      <c r="M4412" t="s">
        <v>3320</v>
      </c>
    </row>
    <row r="4413" spans="12:13" x14ac:dyDescent="0.25">
      <c r="L4413" s="65">
        <v>912131</v>
      </c>
      <c r="M4413" t="s">
        <v>3320</v>
      </c>
    </row>
    <row r="4414" spans="12:13" x14ac:dyDescent="0.25">
      <c r="L4414" s="65">
        <v>912140</v>
      </c>
      <c r="M4414" t="s">
        <v>3321</v>
      </c>
    </row>
    <row r="4415" spans="12:13" x14ac:dyDescent="0.25">
      <c r="L4415" s="65">
        <v>912141</v>
      </c>
      <c r="M4415" t="s">
        <v>3322</v>
      </c>
    </row>
    <row r="4416" spans="12:13" x14ac:dyDescent="0.25">
      <c r="L4416" s="65">
        <v>912150</v>
      </c>
      <c r="M4416" t="s">
        <v>3323</v>
      </c>
    </row>
    <row r="4417" spans="12:13" x14ac:dyDescent="0.25">
      <c r="L4417" s="65">
        <v>912151</v>
      </c>
      <c r="M4417" t="s">
        <v>3323</v>
      </c>
    </row>
    <row r="4418" spans="12:13" x14ac:dyDescent="0.25">
      <c r="L4418" s="65">
        <v>912160</v>
      </c>
      <c r="M4418" t="s">
        <v>3324</v>
      </c>
    </row>
    <row r="4419" spans="12:13" x14ac:dyDescent="0.25">
      <c r="L4419" s="65">
        <v>912161</v>
      </c>
      <c r="M4419" t="s">
        <v>3325</v>
      </c>
    </row>
    <row r="4420" spans="12:13" x14ac:dyDescent="0.25">
      <c r="L4420" s="65">
        <v>912162</v>
      </c>
      <c r="M4420" t="s">
        <v>3326</v>
      </c>
    </row>
    <row r="4421" spans="12:13" x14ac:dyDescent="0.25">
      <c r="L4421" s="65">
        <v>912165</v>
      </c>
      <c r="M4421" t="s">
        <v>3327</v>
      </c>
    </row>
    <row r="4422" spans="12:13" x14ac:dyDescent="0.25">
      <c r="L4422" s="65">
        <v>912200</v>
      </c>
      <c r="M4422" t="s">
        <v>3328</v>
      </c>
    </row>
    <row r="4423" spans="12:13" x14ac:dyDescent="0.25">
      <c r="L4423" s="65">
        <v>912220</v>
      </c>
      <c r="M4423" t="s">
        <v>3329</v>
      </c>
    </row>
    <row r="4424" spans="12:13" x14ac:dyDescent="0.25">
      <c r="L4424" s="65">
        <v>912221</v>
      </c>
      <c r="M4424" t="s">
        <v>3329</v>
      </c>
    </row>
    <row r="4425" spans="12:13" x14ac:dyDescent="0.25">
      <c r="L4425" s="65">
        <v>912230</v>
      </c>
      <c r="M4425" t="s">
        <v>3330</v>
      </c>
    </row>
    <row r="4426" spans="12:13" x14ac:dyDescent="0.25">
      <c r="L4426" s="65">
        <v>912231</v>
      </c>
      <c r="M4426" t="s">
        <v>3331</v>
      </c>
    </row>
    <row r="4427" spans="12:13" x14ac:dyDescent="0.25">
      <c r="L4427" s="65">
        <v>912232</v>
      </c>
      <c r="M4427" t="s">
        <v>3332</v>
      </c>
    </row>
    <row r="4428" spans="12:13" x14ac:dyDescent="0.25">
      <c r="L4428" s="65">
        <v>912240</v>
      </c>
      <c r="M4428" t="s">
        <v>3333</v>
      </c>
    </row>
    <row r="4429" spans="12:13" x14ac:dyDescent="0.25">
      <c r="L4429" s="65">
        <v>912241</v>
      </c>
      <c r="M4429" t="s">
        <v>3333</v>
      </c>
    </row>
    <row r="4430" spans="12:13" x14ac:dyDescent="0.25">
      <c r="L4430" s="65">
        <v>912250</v>
      </c>
      <c r="M4430" t="s">
        <v>3334</v>
      </c>
    </row>
    <row r="4431" spans="12:13" x14ac:dyDescent="0.25">
      <c r="L4431" s="65">
        <v>912251</v>
      </c>
      <c r="M4431" t="s">
        <v>3334</v>
      </c>
    </row>
    <row r="4432" spans="12:13" x14ac:dyDescent="0.25">
      <c r="L4432" s="65">
        <v>912260</v>
      </c>
      <c r="M4432" t="s">
        <v>3335</v>
      </c>
    </row>
    <row r="4433" spans="12:13" x14ac:dyDescent="0.25">
      <c r="L4433" s="65">
        <v>912261</v>
      </c>
      <c r="M4433" t="s">
        <v>3336</v>
      </c>
    </row>
    <row r="4434" spans="12:13" x14ac:dyDescent="0.25">
      <c r="L4434" s="65">
        <v>912262</v>
      </c>
      <c r="M4434" t="s">
        <v>3337</v>
      </c>
    </row>
    <row r="4435" spans="12:13" x14ac:dyDescent="0.25">
      <c r="L4435" s="65">
        <v>912265</v>
      </c>
      <c r="M4435" t="s">
        <v>3338</v>
      </c>
    </row>
    <row r="4436" spans="12:13" x14ac:dyDescent="0.25">
      <c r="L4436" s="65">
        <v>912300</v>
      </c>
      <c r="M4436" t="s">
        <v>3339</v>
      </c>
    </row>
    <row r="4437" spans="12:13" x14ac:dyDescent="0.25">
      <c r="L4437" s="65">
        <v>912320</v>
      </c>
      <c r="M4437" t="s">
        <v>3340</v>
      </c>
    </row>
    <row r="4438" spans="12:13" x14ac:dyDescent="0.25">
      <c r="L4438" s="65">
        <v>912321</v>
      </c>
      <c r="M4438" t="s">
        <v>3340</v>
      </c>
    </row>
    <row r="4439" spans="12:13" x14ac:dyDescent="0.25">
      <c r="L4439" s="65">
        <v>912330</v>
      </c>
      <c r="M4439" t="s">
        <v>3341</v>
      </c>
    </row>
    <row r="4440" spans="12:13" x14ac:dyDescent="0.25">
      <c r="L4440" s="65">
        <v>912331</v>
      </c>
      <c r="M4440" t="s">
        <v>3342</v>
      </c>
    </row>
    <row r="4441" spans="12:13" x14ac:dyDescent="0.25">
      <c r="L4441" s="65">
        <v>912332</v>
      </c>
      <c r="M4441" t="s">
        <v>3343</v>
      </c>
    </row>
    <row r="4442" spans="12:13" x14ac:dyDescent="0.25">
      <c r="L4442" s="65">
        <v>912340</v>
      </c>
      <c r="M4442" t="s">
        <v>3344</v>
      </c>
    </row>
    <row r="4443" spans="12:13" x14ac:dyDescent="0.25">
      <c r="L4443" s="65">
        <v>912341</v>
      </c>
      <c r="M4443" t="s">
        <v>3344</v>
      </c>
    </row>
    <row r="4444" spans="12:13" x14ac:dyDescent="0.25">
      <c r="L4444" s="65">
        <v>912350</v>
      </c>
      <c r="M4444" t="s">
        <v>3345</v>
      </c>
    </row>
    <row r="4445" spans="12:13" x14ac:dyDescent="0.25">
      <c r="L4445" s="65">
        <v>912351</v>
      </c>
      <c r="M4445" t="s">
        <v>3345</v>
      </c>
    </row>
    <row r="4446" spans="12:13" x14ac:dyDescent="0.25">
      <c r="L4446" s="65">
        <v>912360</v>
      </c>
      <c r="M4446" t="s">
        <v>3346</v>
      </c>
    </row>
    <row r="4447" spans="12:13" x14ac:dyDescent="0.25">
      <c r="L4447" s="65">
        <v>912361</v>
      </c>
      <c r="M4447" t="s">
        <v>3347</v>
      </c>
    </row>
    <row r="4448" spans="12:13" x14ac:dyDescent="0.25">
      <c r="L4448" s="65">
        <v>912362</v>
      </c>
      <c r="M4448" t="s">
        <v>3348</v>
      </c>
    </row>
    <row r="4449" spans="12:13" x14ac:dyDescent="0.25">
      <c r="L4449" s="65">
        <v>912365</v>
      </c>
      <c r="M4449" t="s">
        <v>3349</v>
      </c>
    </row>
    <row r="4450" spans="12:13" x14ac:dyDescent="0.25">
      <c r="L4450" s="65">
        <v>912400</v>
      </c>
      <c r="M4450" t="s">
        <v>3350</v>
      </c>
    </row>
    <row r="4451" spans="12:13" x14ac:dyDescent="0.25">
      <c r="L4451" s="65">
        <v>912420</v>
      </c>
      <c r="M4451" t="s">
        <v>3351</v>
      </c>
    </row>
    <row r="4452" spans="12:13" x14ac:dyDescent="0.25">
      <c r="L4452" s="65">
        <v>912421</v>
      </c>
      <c r="M4452" t="s">
        <v>3351</v>
      </c>
    </row>
    <row r="4453" spans="12:13" x14ac:dyDescent="0.25">
      <c r="L4453" s="65">
        <v>912430</v>
      </c>
      <c r="M4453" t="s">
        <v>3352</v>
      </c>
    </row>
    <row r="4454" spans="12:13" x14ac:dyDescent="0.25">
      <c r="L4454" s="65">
        <v>912431</v>
      </c>
      <c r="M4454" t="s">
        <v>3353</v>
      </c>
    </row>
    <row r="4455" spans="12:13" x14ac:dyDescent="0.25">
      <c r="L4455" s="65">
        <v>912432</v>
      </c>
      <c r="M4455" t="s">
        <v>3354</v>
      </c>
    </row>
    <row r="4456" spans="12:13" x14ac:dyDescent="0.25">
      <c r="L4456" s="65">
        <v>912440</v>
      </c>
      <c r="M4456" t="s">
        <v>3355</v>
      </c>
    </row>
    <row r="4457" spans="12:13" x14ac:dyDescent="0.25">
      <c r="L4457" s="65">
        <v>912441</v>
      </c>
      <c r="M4457" t="s">
        <v>3355</v>
      </c>
    </row>
    <row r="4458" spans="12:13" x14ac:dyDescent="0.25">
      <c r="L4458" s="65">
        <v>912450</v>
      </c>
      <c r="M4458" t="s">
        <v>3356</v>
      </c>
    </row>
    <row r="4459" spans="12:13" x14ac:dyDescent="0.25">
      <c r="L4459" s="65">
        <v>912451</v>
      </c>
      <c r="M4459" t="s">
        <v>3356</v>
      </c>
    </row>
    <row r="4460" spans="12:13" x14ac:dyDescent="0.25">
      <c r="L4460" s="65">
        <v>912460</v>
      </c>
      <c r="M4460" t="s">
        <v>3357</v>
      </c>
    </row>
    <row r="4461" spans="12:13" x14ac:dyDescent="0.25">
      <c r="L4461" s="65">
        <v>912461</v>
      </c>
      <c r="M4461" t="s">
        <v>3358</v>
      </c>
    </row>
    <row r="4462" spans="12:13" x14ac:dyDescent="0.25">
      <c r="L4462" s="65">
        <v>912462</v>
      </c>
      <c r="M4462" t="s">
        <v>3359</v>
      </c>
    </row>
    <row r="4463" spans="12:13" x14ac:dyDescent="0.25">
      <c r="L4463" s="65">
        <v>912465</v>
      </c>
      <c r="M4463" t="s">
        <v>3360</v>
      </c>
    </row>
    <row r="4464" spans="12:13" x14ac:dyDescent="0.25">
      <c r="L4464" s="65">
        <v>912500</v>
      </c>
      <c r="M4464" t="s">
        <v>3361</v>
      </c>
    </row>
    <row r="4465" spans="12:13" x14ac:dyDescent="0.25">
      <c r="L4465" s="65">
        <v>912520</v>
      </c>
      <c r="M4465" t="s">
        <v>3362</v>
      </c>
    </row>
    <row r="4466" spans="12:13" x14ac:dyDescent="0.25">
      <c r="L4466" s="65">
        <v>912521</v>
      </c>
      <c r="M4466" t="s">
        <v>3362</v>
      </c>
    </row>
    <row r="4467" spans="12:13" x14ac:dyDescent="0.25">
      <c r="L4467" s="65">
        <v>912530</v>
      </c>
      <c r="M4467" t="s">
        <v>3363</v>
      </c>
    </row>
    <row r="4468" spans="12:13" x14ac:dyDescent="0.25">
      <c r="L4468" s="65">
        <v>912531</v>
      </c>
      <c r="M4468" t="s">
        <v>3364</v>
      </c>
    </row>
    <row r="4469" spans="12:13" x14ac:dyDescent="0.25">
      <c r="L4469" s="65">
        <v>912532</v>
      </c>
      <c r="M4469" t="s">
        <v>3365</v>
      </c>
    </row>
    <row r="4470" spans="12:13" x14ac:dyDescent="0.25">
      <c r="L4470" s="65">
        <v>912540</v>
      </c>
      <c r="M4470" t="s">
        <v>3366</v>
      </c>
    </row>
    <row r="4471" spans="12:13" x14ac:dyDescent="0.25">
      <c r="L4471" s="65">
        <v>912541</v>
      </c>
      <c r="M4471" t="s">
        <v>3366</v>
      </c>
    </row>
    <row r="4472" spans="12:13" x14ac:dyDescent="0.25">
      <c r="L4472" s="65">
        <v>912550</v>
      </c>
      <c r="M4472" t="s">
        <v>3367</v>
      </c>
    </row>
    <row r="4473" spans="12:13" x14ac:dyDescent="0.25">
      <c r="L4473" s="65">
        <v>912551</v>
      </c>
      <c r="M4473" t="s">
        <v>3367</v>
      </c>
    </row>
    <row r="4474" spans="12:13" x14ac:dyDescent="0.25">
      <c r="L4474" s="65">
        <v>912560</v>
      </c>
      <c r="M4474" t="s">
        <v>3368</v>
      </c>
    </row>
    <row r="4475" spans="12:13" x14ac:dyDescent="0.25">
      <c r="L4475" s="65">
        <v>912561</v>
      </c>
      <c r="M4475" t="s">
        <v>3369</v>
      </c>
    </row>
    <row r="4476" spans="12:13" x14ac:dyDescent="0.25">
      <c r="L4476" s="65">
        <v>912562</v>
      </c>
      <c r="M4476" t="s">
        <v>3370</v>
      </c>
    </row>
    <row r="4477" spans="12:13" x14ac:dyDescent="0.25">
      <c r="L4477" s="65">
        <v>912565</v>
      </c>
      <c r="M4477" t="s">
        <v>3371</v>
      </c>
    </row>
    <row r="4478" spans="12:13" x14ac:dyDescent="0.25">
      <c r="L4478" s="65">
        <v>912600</v>
      </c>
      <c r="M4478" t="s">
        <v>3372</v>
      </c>
    </row>
    <row r="4479" spans="12:13" x14ac:dyDescent="0.25">
      <c r="L4479" s="65">
        <v>912620</v>
      </c>
      <c r="M4479" t="s">
        <v>3373</v>
      </c>
    </row>
    <row r="4480" spans="12:13" x14ac:dyDescent="0.25">
      <c r="L4480" s="65">
        <v>912621</v>
      </c>
      <c r="M4480" t="s">
        <v>3373</v>
      </c>
    </row>
    <row r="4481" spans="12:13" x14ac:dyDescent="0.25">
      <c r="L4481" s="65">
        <v>912630</v>
      </c>
      <c r="M4481" t="s">
        <v>3374</v>
      </c>
    </row>
    <row r="4482" spans="12:13" x14ac:dyDescent="0.25">
      <c r="L4482" s="65">
        <v>912631</v>
      </c>
      <c r="M4482" t="s">
        <v>3374</v>
      </c>
    </row>
    <row r="4483" spans="12:13" x14ac:dyDescent="0.25">
      <c r="L4483" s="65">
        <v>912640</v>
      </c>
      <c r="M4483" t="s">
        <v>3375</v>
      </c>
    </row>
    <row r="4484" spans="12:13" x14ac:dyDescent="0.25">
      <c r="L4484" s="65">
        <v>912641</v>
      </c>
      <c r="M4484" t="s">
        <v>3375</v>
      </c>
    </row>
    <row r="4485" spans="12:13" x14ac:dyDescent="0.25">
      <c r="L4485" s="65">
        <v>912650</v>
      </c>
      <c r="M4485" t="s">
        <v>3376</v>
      </c>
    </row>
    <row r="4486" spans="12:13" x14ac:dyDescent="0.25">
      <c r="L4486" s="65">
        <v>912651</v>
      </c>
      <c r="M4486" t="s">
        <v>3376</v>
      </c>
    </row>
    <row r="4487" spans="12:13" x14ac:dyDescent="0.25">
      <c r="L4487" s="65">
        <v>912660</v>
      </c>
      <c r="M4487" t="s">
        <v>3377</v>
      </c>
    </row>
    <row r="4488" spans="12:13" x14ac:dyDescent="0.25">
      <c r="L4488" s="65">
        <v>912661</v>
      </c>
      <c r="M4488" t="s">
        <v>3378</v>
      </c>
    </row>
    <row r="4489" spans="12:13" x14ac:dyDescent="0.25">
      <c r="L4489" s="65">
        <v>912662</v>
      </c>
      <c r="M4489" t="s">
        <v>3379</v>
      </c>
    </row>
    <row r="4490" spans="12:13" x14ac:dyDescent="0.25">
      <c r="L4490" s="65">
        <v>912665</v>
      </c>
      <c r="M4490" t="s">
        <v>3380</v>
      </c>
    </row>
    <row r="4491" spans="12:13" x14ac:dyDescent="0.25">
      <c r="L4491" s="65">
        <v>912900</v>
      </c>
      <c r="M4491" t="s">
        <v>1994</v>
      </c>
    </row>
    <row r="4492" spans="12:13" x14ac:dyDescent="0.25">
      <c r="L4492" s="65">
        <v>912920</v>
      </c>
      <c r="M4492" t="s">
        <v>3381</v>
      </c>
    </row>
    <row r="4493" spans="12:13" x14ac:dyDescent="0.25">
      <c r="L4493" s="65">
        <v>912921</v>
      </c>
      <c r="M4493" t="s">
        <v>3381</v>
      </c>
    </row>
    <row r="4494" spans="12:13" x14ac:dyDescent="0.25">
      <c r="L4494" s="65">
        <v>912930</v>
      </c>
      <c r="M4494" t="s">
        <v>3382</v>
      </c>
    </row>
    <row r="4495" spans="12:13" x14ac:dyDescent="0.25">
      <c r="L4495" s="65">
        <v>912931</v>
      </c>
      <c r="M4495" t="s">
        <v>3383</v>
      </c>
    </row>
    <row r="4496" spans="12:13" x14ac:dyDescent="0.25">
      <c r="L4496" s="65">
        <v>912932</v>
      </c>
      <c r="M4496" t="s">
        <v>3384</v>
      </c>
    </row>
    <row r="4497" spans="12:13" x14ac:dyDescent="0.25">
      <c r="L4497" s="65">
        <v>912940</v>
      </c>
      <c r="M4497" t="s">
        <v>3385</v>
      </c>
    </row>
    <row r="4498" spans="12:13" x14ac:dyDescent="0.25">
      <c r="L4498" s="65">
        <v>912941</v>
      </c>
      <c r="M4498" t="s">
        <v>3385</v>
      </c>
    </row>
    <row r="4499" spans="12:13" x14ac:dyDescent="0.25">
      <c r="L4499" s="65">
        <v>912950</v>
      </c>
      <c r="M4499" t="s">
        <v>3386</v>
      </c>
    </row>
    <row r="4500" spans="12:13" x14ac:dyDescent="0.25">
      <c r="L4500" s="65">
        <v>912951</v>
      </c>
      <c r="M4500" t="s">
        <v>3386</v>
      </c>
    </row>
    <row r="4501" spans="12:13" x14ac:dyDescent="0.25">
      <c r="L4501" s="65">
        <v>912960</v>
      </c>
      <c r="M4501" t="s">
        <v>3387</v>
      </c>
    </row>
    <row r="4502" spans="12:13" x14ac:dyDescent="0.25">
      <c r="L4502" s="65">
        <v>912961</v>
      </c>
      <c r="M4502" t="s">
        <v>3388</v>
      </c>
    </row>
    <row r="4503" spans="12:13" x14ac:dyDescent="0.25">
      <c r="L4503" s="65">
        <v>912962</v>
      </c>
      <c r="M4503" t="s">
        <v>3389</v>
      </c>
    </row>
    <row r="4504" spans="12:13" x14ac:dyDescent="0.25">
      <c r="L4504" s="65">
        <v>912965</v>
      </c>
      <c r="M4504" t="s">
        <v>3390</v>
      </c>
    </row>
    <row r="4505" spans="12:13" x14ac:dyDescent="0.25">
      <c r="L4505" s="65">
        <v>920000</v>
      </c>
      <c r="M4505" t="s">
        <v>1212</v>
      </c>
    </row>
    <row r="4506" spans="12:13" x14ac:dyDescent="0.25">
      <c r="L4506" s="65">
        <v>921000</v>
      </c>
      <c r="M4506" t="s">
        <v>3392</v>
      </c>
    </row>
    <row r="4507" spans="12:13" x14ac:dyDescent="0.25">
      <c r="L4507" s="65">
        <v>921100</v>
      </c>
      <c r="M4507" t="s">
        <v>3393</v>
      </c>
    </row>
    <row r="4508" spans="12:13" x14ac:dyDescent="0.25">
      <c r="L4508" s="65">
        <v>921120</v>
      </c>
      <c r="M4508" t="s">
        <v>3394</v>
      </c>
    </row>
    <row r="4509" spans="12:13" x14ac:dyDescent="0.25">
      <c r="L4509" s="65">
        <v>921121</v>
      </c>
      <c r="M4509" t="s">
        <v>3394</v>
      </c>
    </row>
    <row r="4510" spans="12:13" x14ac:dyDescent="0.25">
      <c r="L4510" s="65">
        <v>921130</v>
      </c>
      <c r="M4510" t="s">
        <v>3395</v>
      </c>
    </row>
    <row r="4511" spans="12:13" x14ac:dyDescent="0.25">
      <c r="L4511" s="65">
        <v>921131</v>
      </c>
      <c r="M4511" t="s">
        <v>3396</v>
      </c>
    </row>
    <row r="4512" spans="12:13" x14ac:dyDescent="0.25">
      <c r="L4512" s="65">
        <v>921132</v>
      </c>
      <c r="M4512" t="s">
        <v>3397</v>
      </c>
    </row>
    <row r="4513" spans="12:13" x14ac:dyDescent="0.25">
      <c r="L4513" s="65">
        <v>921140</v>
      </c>
      <c r="M4513" t="s">
        <v>3398</v>
      </c>
    </row>
    <row r="4514" spans="12:13" x14ac:dyDescent="0.25">
      <c r="L4514" s="65">
        <v>921141</v>
      </c>
      <c r="M4514" t="s">
        <v>3398</v>
      </c>
    </row>
    <row r="4515" spans="12:13" x14ac:dyDescent="0.25">
      <c r="L4515" s="65">
        <v>921150</v>
      </c>
      <c r="M4515" t="s">
        <v>3399</v>
      </c>
    </row>
    <row r="4516" spans="12:13" x14ac:dyDescent="0.25">
      <c r="L4516" s="65">
        <v>921151</v>
      </c>
      <c r="M4516" t="s">
        <v>3399</v>
      </c>
    </row>
    <row r="4517" spans="12:13" x14ac:dyDescent="0.25">
      <c r="L4517" s="65">
        <v>921160</v>
      </c>
      <c r="M4517" t="s">
        <v>3400</v>
      </c>
    </row>
    <row r="4518" spans="12:13" x14ac:dyDescent="0.25">
      <c r="L4518" s="65">
        <v>921161</v>
      </c>
      <c r="M4518" t="s">
        <v>3401</v>
      </c>
    </row>
    <row r="4519" spans="12:13" x14ac:dyDescent="0.25">
      <c r="L4519" s="65">
        <v>921162</v>
      </c>
      <c r="M4519" t="s">
        <v>3402</v>
      </c>
    </row>
    <row r="4520" spans="12:13" x14ac:dyDescent="0.25">
      <c r="L4520" s="65">
        <v>921165</v>
      </c>
      <c r="M4520" t="s">
        <v>3403</v>
      </c>
    </row>
    <row r="4521" spans="12:13" x14ac:dyDescent="0.25">
      <c r="L4521" s="65">
        <v>921220</v>
      </c>
      <c r="M4521" t="s">
        <v>3404</v>
      </c>
    </row>
    <row r="4522" spans="12:13" x14ac:dyDescent="0.25">
      <c r="L4522" s="65">
        <v>921221</v>
      </c>
      <c r="M4522" t="s">
        <v>3404</v>
      </c>
    </row>
    <row r="4523" spans="12:13" x14ac:dyDescent="0.25">
      <c r="L4523" s="65">
        <v>921230</v>
      </c>
      <c r="M4523" t="s">
        <v>3405</v>
      </c>
    </row>
    <row r="4524" spans="12:13" x14ac:dyDescent="0.25">
      <c r="L4524" s="65">
        <v>921231</v>
      </c>
      <c r="M4524" t="s">
        <v>3406</v>
      </c>
    </row>
    <row r="4525" spans="12:13" x14ac:dyDescent="0.25">
      <c r="L4525" s="65">
        <v>921232</v>
      </c>
      <c r="M4525" t="s">
        <v>3407</v>
      </c>
    </row>
    <row r="4526" spans="12:13" x14ac:dyDescent="0.25">
      <c r="L4526" s="65">
        <v>921240</v>
      </c>
      <c r="M4526" t="s">
        <v>3408</v>
      </c>
    </row>
    <row r="4527" spans="12:13" x14ac:dyDescent="0.25">
      <c r="L4527" s="65">
        <v>921241</v>
      </c>
      <c r="M4527" t="s">
        <v>3408</v>
      </c>
    </row>
    <row r="4528" spans="12:13" x14ac:dyDescent="0.25">
      <c r="L4528" s="65">
        <v>921250</v>
      </c>
      <c r="M4528" t="s">
        <v>3409</v>
      </c>
    </row>
    <row r="4529" spans="12:13" x14ac:dyDescent="0.25">
      <c r="L4529" s="65">
        <v>921251</v>
      </c>
      <c r="M4529" t="s">
        <v>3409</v>
      </c>
    </row>
    <row r="4530" spans="12:13" x14ac:dyDescent="0.25">
      <c r="L4530" s="65">
        <v>921260</v>
      </c>
      <c r="M4530" t="s">
        <v>3410</v>
      </c>
    </row>
    <row r="4531" spans="12:13" x14ac:dyDescent="0.25">
      <c r="L4531" s="65">
        <v>921261</v>
      </c>
      <c r="M4531" t="s">
        <v>3411</v>
      </c>
    </row>
    <row r="4532" spans="12:13" x14ac:dyDescent="0.25">
      <c r="L4532" s="65">
        <v>921262</v>
      </c>
      <c r="M4532" t="s">
        <v>3412</v>
      </c>
    </row>
    <row r="4533" spans="12:13" x14ac:dyDescent="0.25">
      <c r="L4533" s="65">
        <v>921265</v>
      </c>
      <c r="M4533" t="s">
        <v>3413</v>
      </c>
    </row>
    <row r="4534" spans="12:13" x14ac:dyDescent="0.25">
      <c r="L4534" s="65">
        <v>921300</v>
      </c>
      <c r="M4534" t="s">
        <v>3414</v>
      </c>
    </row>
    <row r="4535" spans="12:13" x14ac:dyDescent="0.25">
      <c r="L4535" s="65">
        <v>921320</v>
      </c>
      <c r="M4535" t="s">
        <v>3415</v>
      </c>
    </row>
    <row r="4536" spans="12:13" x14ac:dyDescent="0.25">
      <c r="L4536" s="65">
        <v>921321</v>
      </c>
      <c r="M4536" t="s">
        <v>3415</v>
      </c>
    </row>
    <row r="4537" spans="12:13" x14ac:dyDescent="0.25">
      <c r="L4537" s="65">
        <v>921330</v>
      </c>
      <c r="M4537" t="s">
        <v>3416</v>
      </c>
    </row>
    <row r="4538" spans="12:13" x14ac:dyDescent="0.25">
      <c r="L4538" s="65">
        <v>921331</v>
      </c>
      <c r="M4538" t="s">
        <v>3416</v>
      </c>
    </row>
    <row r="4539" spans="12:13" x14ac:dyDescent="0.25">
      <c r="L4539" s="65">
        <v>921340</v>
      </c>
      <c r="M4539" t="s">
        <v>3417</v>
      </c>
    </row>
    <row r="4540" spans="12:13" x14ac:dyDescent="0.25">
      <c r="L4540" s="65">
        <v>921341</v>
      </c>
      <c r="M4540" t="s">
        <v>3417</v>
      </c>
    </row>
    <row r="4541" spans="12:13" x14ac:dyDescent="0.25">
      <c r="L4541" s="65">
        <v>921350</v>
      </c>
      <c r="M4541" t="s">
        <v>3418</v>
      </c>
    </row>
    <row r="4542" spans="12:13" x14ac:dyDescent="0.25">
      <c r="L4542" s="65">
        <v>921351</v>
      </c>
      <c r="M4542" t="s">
        <v>3418</v>
      </c>
    </row>
    <row r="4543" spans="12:13" x14ac:dyDescent="0.25">
      <c r="L4543" s="65">
        <v>921360</v>
      </c>
      <c r="M4543" t="s">
        <v>3419</v>
      </c>
    </row>
    <row r="4544" spans="12:13" x14ac:dyDescent="0.25">
      <c r="L4544" s="65">
        <v>921361</v>
      </c>
      <c r="M4544" t="s">
        <v>3420</v>
      </c>
    </row>
    <row r="4545" spans="12:13" x14ac:dyDescent="0.25">
      <c r="L4545" s="65">
        <v>921362</v>
      </c>
      <c r="M4545" t="s">
        <v>3421</v>
      </c>
    </row>
    <row r="4546" spans="12:13" x14ac:dyDescent="0.25">
      <c r="L4546" s="65">
        <v>921365</v>
      </c>
      <c r="M4546" t="s">
        <v>3422</v>
      </c>
    </row>
    <row r="4547" spans="12:13" x14ac:dyDescent="0.25">
      <c r="L4547" s="65">
        <v>921400</v>
      </c>
      <c r="M4547" t="s">
        <v>3423</v>
      </c>
    </row>
    <row r="4548" spans="12:13" x14ac:dyDescent="0.25">
      <c r="L4548" s="65">
        <v>921420</v>
      </c>
      <c r="M4548" t="s">
        <v>3424</v>
      </c>
    </row>
    <row r="4549" spans="12:13" x14ac:dyDescent="0.25">
      <c r="L4549" s="65">
        <v>921421</v>
      </c>
      <c r="M4549" t="s">
        <v>3424</v>
      </c>
    </row>
    <row r="4550" spans="12:13" x14ac:dyDescent="0.25">
      <c r="L4550" s="65">
        <v>921430</v>
      </c>
      <c r="M4550" t="s">
        <v>3425</v>
      </c>
    </row>
    <row r="4551" spans="12:13" x14ac:dyDescent="0.25">
      <c r="L4551" s="65">
        <v>921431</v>
      </c>
      <c r="M4551" t="s">
        <v>3425</v>
      </c>
    </row>
    <row r="4552" spans="12:13" x14ac:dyDescent="0.25">
      <c r="L4552" s="65">
        <v>921440</v>
      </c>
      <c r="M4552" t="s">
        <v>3426</v>
      </c>
    </row>
    <row r="4553" spans="12:13" x14ac:dyDescent="0.25">
      <c r="L4553" s="65">
        <v>921441</v>
      </c>
      <c r="M4553" t="s">
        <v>3426</v>
      </c>
    </row>
    <row r="4554" spans="12:13" x14ac:dyDescent="0.25">
      <c r="L4554" s="65">
        <v>921450</v>
      </c>
      <c r="M4554" t="s">
        <v>3427</v>
      </c>
    </row>
    <row r="4555" spans="12:13" x14ac:dyDescent="0.25">
      <c r="L4555" s="65">
        <v>921451</v>
      </c>
      <c r="M4555" t="s">
        <v>3427</v>
      </c>
    </row>
    <row r="4556" spans="12:13" x14ac:dyDescent="0.25">
      <c r="L4556" s="65">
        <v>921460</v>
      </c>
      <c r="M4556" t="s">
        <v>3428</v>
      </c>
    </row>
    <row r="4557" spans="12:13" x14ac:dyDescent="0.25">
      <c r="L4557" s="65">
        <v>921461</v>
      </c>
      <c r="M4557" t="s">
        <v>3429</v>
      </c>
    </row>
    <row r="4558" spans="12:13" x14ac:dyDescent="0.25">
      <c r="L4558" s="65">
        <v>921462</v>
      </c>
      <c r="M4558" t="s">
        <v>3430</v>
      </c>
    </row>
    <row r="4559" spans="12:13" x14ac:dyDescent="0.25">
      <c r="L4559" s="65">
        <v>921465</v>
      </c>
      <c r="M4559" t="s">
        <v>3431</v>
      </c>
    </row>
    <row r="4560" spans="12:13" x14ac:dyDescent="0.25">
      <c r="L4560" s="65">
        <v>921500</v>
      </c>
      <c r="M4560" t="s">
        <v>3432</v>
      </c>
    </row>
    <row r="4561" spans="12:13" x14ac:dyDescent="0.25">
      <c r="L4561" s="65">
        <v>921520</v>
      </c>
      <c r="M4561" t="s">
        <v>3433</v>
      </c>
    </row>
    <row r="4562" spans="12:13" x14ac:dyDescent="0.25">
      <c r="L4562" s="65">
        <v>921521</v>
      </c>
      <c r="M4562" t="s">
        <v>3433</v>
      </c>
    </row>
    <row r="4563" spans="12:13" x14ac:dyDescent="0.25">
      <c r="L4563" s="65">
        <v>921530</v>
      </c>
      <c r="M4563" t="s">
        <v>3434</v>
      </c>
    </row>
    <row r="4564" spans="12:13" x14ac:dyDescent="0.25">
      <c r="L4564" s="65">
        <v>921531</v>
      </c>
      <c r="M4564" t="s">
        <v>3435</v>
      </c>
    </row>
    <row r="4565" spans="12:13" x14ac:dyDescent="0.25">
      <c r="L4565" s="65">
        <v>921532</v>
      </c>
      <c r="M4565" t="s">
        <v>3436</v>
      </c>
    </row>
    <row r="4566" spans="12:13" x14ac:dyDescent="0.25">
      <c r="L4566" s="65">
        <v>921540</v>
      </c>
      <c r="M4566" t="s">
        <v>3437</v>
      </c>
    </row>
    <row r="4567" spans="12:13" x14ac:dyDescent="0.25">
      <c r="L4567" s="65">
        <v>921541</v>
      </c>
      <c r="M4567" t="s">
        <v>3437</v>
      </c>
    </row>
    <row r="4568" spans="12:13" x14ac:dyDescent="0.25">
      <c r="L4568" s="65">
        <v>921550</v>
      </c>
      <c r="M4568" t="s">
        <v>3438</v>
      </c>
    </row>
    <row r="4569" spans="12:13" x14ac:dyDescent="0.25">
      <c r="L4569" s="65">
        <v>921551</v>
      </c>
      <c r="M4569" t="s">
        <v>3438</v>
      </c>
    </row>
    <row r="4570" spans="12:13" x14ac:dyDescent="0.25">
      <c r="L4570" s="65">
        <v>921560</v>
      </c>
      <c r="M4570" t="s">
        <v>3439</v>
      </c>
    </row>
    <row r="4571" spans="12:13" x14ac:dyDescent="0.25">
      <c r="L4571" s="65">
        <v>921561</v>
      </c>
      <c r="M4571" t="s">
        <v>3440</v>
      </c>
    </row>
    <row r="4572" spans="12:13" x14ac:dyDescent="0.25">
      <c r="L4572" s="65">
        <v>921562</v>
      </c>
      <c r="M4572" t="s">
        <v>3441</v>
      </c>
    </row>
    <row r="4573" spans="12:13" x14ac:dyDescent="0.25">
      <c r="L4573" s="65">
        <v>921565</v>
      </c>
      <c r="M4573" t="s">
        <v>3442</v>
      </c>
    </row>
    <row r="4574" spans="12:13" x14ac:dyDescent="0.25">
      <c r="L4574" s="65">
        <v>921600</v>
      </c>
      <c r="M4574" t="s">
        <v>3443</v>
      </c>
    </row>
    <row r="4575" spans="12:13" x14ac:dyDescent="0.25">
      <c r="L4575" s="65">
        <v>921620</v>
      </c>
      <c r="M4575" t="s">
        <v>3444</v>
      </c>
    </row>
    <row r="4576" spans="12:13" x14ac:dyDescent="0.25">
      <c r="L4576" s="65">
        <v>921621</v>
      </c>
      <c r="M4576" t="s">
        <v>3444</v>
      </c>
    </row>
    <row r="4577" spans="12:13" x14ac:dyDescent="0.25">
      <c r="L4577" s="65">
        <v>921630</v>
      </c>
      <c r="M4577" t="s">
        <v>3445</v>
      </c>
    </row>
    <row r="4578" spans="12:13" x14ac:dyDescent="0.25">
      <c r="L4578" s="65">
        <v>921631</v>
      </c>
      <c r="M4578" t="s">
        <v>3446</v>
      </c>
    </row>
    <row r="4579" spans="12:13" x14ac:dyDescent="0.25">
      <c r="L4579" s="65">
        <v>921632</v>
      </c>
      <c r="M4579" t="s">
        <v>3447</v>
      </c>
    </row>
    <row r="4580" spans="12:13" x14ac:dyDescent="0.25">
      <c r="L4580" s="65">
        <v>921640</v>
      </c>
      <c r="M4580" t="s">
        <v>3448</v>
      </c>
    </row>
    <row r="4581" spans="12:13" x14ac:dyDescent="0.25">
      <c r="L4581" s="65">
        <v>921641</v>
      </c>
      <c r="M4581" t="s">
        <v>3448</v>
      </c>
    </row>
    <row r="4582" spans="12:13" x14ac:dyDescent="0.25">
      <c r="L4582" s="65">
        <v>921650</v>
      </c>
      <c r="M4582" t="s">
        <v>3449</v>
      </c>
    </row>
    <row r="4583" spans="12:13" x14ac:dyDescent="0.25">
      <c r="L4583" s="65">
        <v>921651</v>
      </c>
      <c r="M4583" t="s">
        <v>3449</v>
      </c>
    </row>
    <row r="4584" spans="12:13" x14ac:dyDescent="0.25">
      <c r="L4584" s="65">
        <v>921660</v>
      </c>
      <c r="M4584" t="s">
        <v>3450</v>
      </c>
    </row>
    <row r="4585" spans="12:13" x14ac:dyDescent="0.25">
      <c r="L4585" s="65">
        <v>921661</v>
      </c>
      <c r="M4585" t="s">
        <v>3451</v>
      </c>
    </row>
    <row r="4586" spans="12:13" x14ac:dyDescent="0.25">
      <c r="L4586" s="65">
        <v>921662</v>
      </c>
      <c r="M4586" t="s">
        <v>3452</v>
      </c>
    </row>
    <row r="4587" spans="12:13" x14ac:dyDescent="0.25">
      <c r="L4587" s="65">
        <v>921665</v>
      </c>
      <c r="M4587" t="s">
        <v>3453</v>
      </c>
    </row>
    <row r="4588" spans="12:13" x14ac:dyDescent="0.25">
      <c r="L4588" s="65">
        <v>921700</v>
      </c>
      <c r="M4588" t="s">
        <v>3454</v>
      </c>
    </row>
    <row r="4589" spans="12:13" x14ac:dyDescent="0.25">
      <c r="L4589" s="65">
        <v>921720</v>
      </c>
      <c r="M4589" t="s">
        <v>3455</v>
      </c>
    </row>
    <row r="4590" spans="12:13" x14ac:dyDescent="0.25">
      <c r="L4590" s="65">
        <v>921721</v>
      </c>
      <c r="M4590" t="s">
        <v>3455</v>
      </c>
    </row>
    <row r="4591" spans="12:13" x14ac:dyDescent="0.25">
      <c r="L4591" s="65">
        <v>921730</v>
      </c>
      <c r="M4591" t="s">
        <v>3456</v>
      </c>
    </row>
    <row r="4592" spans="12:13" x14ac:dyDescent="0.25">
      <c r="L4592" s="65">
        <v>921731</v>
      </c>
      <c r="M4592" t="s">
        <v>3457</v>
      </c>
    </row>
    <row r="4593" spans="12:13" x14ac:dyDescent="0.25">
      <c r="L4593" s="65">
        <v>921732</v>
      </c>
      <c r="M4593" t="s">
        <v>3458</v>
      </c>
    </row>
    <row r="4594" spans="12:13" x14ac:dyDescent="0.25">
      <c r="L4594" s="65">
        <v>921740</v>
      </c>
      <c r="M4594" t="s">
        <v>3459</v>
      </c>
    </row>
    <row r="4595" spans="12:13" x14ac:dyDescent="0.25">
      <c r="L4595" s="65">
        <v>921741</v>
      </c>
      <c r="M4595" t="s">
        <v>3459</v>
      </c>
    </row>
    <row r="4596" spans="12:13" x14ac:dyDescent="0.25">
      <c r="L4596" s="65">
        <v>921750</v>
      </c>
      <c r="M4596" t="s">
        <v>3460</v>
      </c>
    </row>
    <row r="4597" spans="12:13" x14ac:dyDescent="0.25">
      <c r="L4597" s="65">
        <v>921751</v>
      </c>
      <c r="M4597" t="s">
        <v>3460</v>
      </c>
    </row>
    <row r="4598" spans="12:13" x14ac:dyDescent="0.25">
      <c r="L4598" s="65">
        <v>921760</v>
      </c>
      <c r="M4598" t="s">
        <v>3461</v>
      </c>
    </row>
    <row r="4599" spans="12:13" x14ac:dyDescent="0.25">
      <c r="L4599" s="65">
        <v>921761</v>
      </c>
      <c r="M4599" t="s">
        <v>3462</v>
      </c>
    </row>
    <row r="4600" spans="12:13" x14ac:dyDescent="0.25">
      <c r="L4600" s="65">
        <v>921762</v>
      </c>
      <c r="M4600" t="s">
        <v>3463</v>
      </c>
    </row>
    <row r="4601" spans="12:13" x14ac:dyDescent="0.25">
      <c r="L4601" s="65">
        <v>921765</v>
      </c>
      <c r="M4601" t="s">
        <v>3464</v>
      </c>
    </row>
    <row r="4602" spans="12:13" x14ac:dyDescent="0.25">
      <c r="L4602" s="65">
        <v>921800</v>
      </c>
      <c r="M4602" t="s">
        <v>3465</v>
      </c>
    </row>
    <row r="4603" spans="12:13" x14ac:dyDescent="0.25">
      <c r="L4603" s="65">
        <v>921820</v>
      </c>
      <c r="M4603" t="s">
        <v>3466</v>
      </c>
    </row>
    <row r="4604" spans="12:13" x14ac:dyDescent="0.25">
      <c r="L4604" s="65">
        <v>921821</v>
      </c>
      <c r="M4604" t="s">
        <v>3466</v>
      </c>
    </row>
    <row r="4605" spans="12:13" x14ac:dyDescent="0.25">
      <c r="L4605" s="65">
        <v>921830</v>
      </c>
      <c r="M4605" t="s">
        <v>3467</v>
      </c>
    </row>
    <row r="4606" spans="12:13" x14ac:dyDescent="0.25">
      <c r="L4606" s="65">
        <v>921831</v>
      </c>
      <c r="M4606" t="s">
        <v>3467</v>
      </c>
    </row>
    <row r="4607" spans="12:13" x14ac:dyDescent="0.25">
      <c r="L4607" s="65">
        <v>921840</v>
      </c>
      <c r="M4607" t="s">
        <v>3468</v>
      </c>
    </row>
    <row r="4608" spans="12:13" x14ac:dyDescent="0.25">
      <c r="L4608" s="65">
        <v>921841</v>
      </c>
      <c r="M4608" t="s">
        <v>3468</v>
      </c>
    </row>
    <row r="4609" spans="12:13" x14ac:dyDescent="0.25">
      <c r="L4609" s="65">
        <v>921850</v>
      </c>
      <c r="M4609" t="s">
        <v>3469</v>
      </c>
    </row>
    <row r="4610" spans="12:13" x14ac:dyDescent="0.25">
      <c r="L4610" s="65">
        <v>921851</v>
      </c>
      <c r="M4610" t="s">
        <v>3469</v>
      </c>
    </row>
    <row r="4611" spans="12:13" x14ac:dyDescent="0.25">
      <c r="L4611" s="65">
        <v>921860</v>
      </c>
      <c r="M4611" t="s">
        <v>3470</v>
      </c>
    </row>
    <row r="4612" spans="12:13" x14ac:dyDescent="0.25">
      <c r="L4612" s="65">
        <v>921861</v>
      </c>
      <c r="M4612" t="s">
        <v>3471</v>
      </c>
    </row>
    <row r="4613" spans="12:13" x14ac:dyDescent="0.25">
      <c r="L4613" s="65">
        <v>921862</v>
      </c>
      <c r="M4613" t="s">
        <v>3472</v>
      </c>
    </row>
    <row r="4614" spans="12:13" x14ac:dyDescent="0.25">
      <c r="L4614" s="65">
        <v>921865</v>
      </c>
      <c r="M4614" t="s">
        <v>3473</v>
      </c>
    </row>
    <row r="4615" spans="12:13" x14ac:dyDescent="0.25">
      <c r="L4615" s="65">
        <v>921900</v>
      </c>
      <c r="M4615" t="s">
        <v>3474</v>
      </c>
    </row>
    <row r="4616" spans="12:13" x14ac:dyDescent="0.25">
      <c r="L4616" s="65">
        <v>921920</v>
      </c>
      <c r="M4616" t="s">
        <v>3475</v>
      </c>
    </row>
    <row r="4617" spans="12:13" x14ac:dyDescent="0.25">
      <c r="L4617" s="65">
        <v>921921</v>
      </c>
      <c r="M4617" t="s">
        <v>3476</v>
      </c>
    </row>
    <row r="4618" spans="12:13" x14ac:dyDescent="0.25">
      <c r="L4618" s="65">
        <v>921922</v>
      </c>
      <c r="M4618" t="s">
        <v>3477</v>
      </c>
    </row>
    <row r="4619" spans="12:13" x14ac:dyDescent="0.25">
      <c r="L4619" s="65">
        <v>921923</v>
      </c>
      <c r="M4619" t="s">
        <v>3478</v>
      </c>
    </row>
    <row r="4620" spans="12:13" x14ac:dyDescent="0.25">
      <c r="L4620" s="65">
        <v>921930</v>
      </c>
      <c r="M4620" t="s">
        <v>3479</v>
      </c>
    </row>
    <row r="4621" spans="12:13" x14ac:dyDescent="0.25">
      <c r="L4621" s="65">
        <v>921931</v>
      </c>
      <c r="M4621" t="s">
        <v>3480</v>
      </c>
    </row>
    <row r="4622" spans="12:13" x14ac:dyDescent="0.25">
      <c r="L4622" s="65">
        <v>921932</v>
      </c>
      <c r="M4622" t="s">
        <v>3481</v>
      </c>
    </row>
    <row r="4623" spans="12:13" x14ac:dyDescent="0.25">
      <c r="L4623" s="65">
        <v>921940</v>
      </c>
      <c r="M4623" t="s">
        <v>3482</v>
      </c>
    </row>
    <row r="4624" spans="12:13" x14ac:dyDescent="0.25">
      <c r="L4624" s="65">
        <v>921941</v>
      </c>
      <c r="M4624" t="s">
        <v>3482</v>
      </c>
    </row>
    <row r="4625" spans="12:13" x14ac:dyDescent="0.25">
      <c r="L4625" s="65">
        <v>921950</v>
      </c>
      <c r="M4625" t="s">
        <v>3484</v>
      </c>
    </row>
    <row r="4626" spans="12:13" x14ac:dyDescent="0.25">
      <c r="L4626" s="65">
        <v>921951</v>
      </c>
      <c r="M4626" t="s">
        <v>3484</v>
      </c>
    </row>
    <row r="4627" spans="12:13" x14ac:dyDescent="0.25">
      <c r="L4627" s="65">
        <v>921960</v>
      </c>
      <c r="M4627" t="s">
        <v>3485</v>
      </c>
    </row>
    <row r="4628" spans="12:13" x14ac:dyDescent="0.25">
      <c r="L4628" s="65">
        <v>921961</v>
      </c>
      <c r="M4628" t="s">
        <v>3486</v>
      </c>
    </row>
    <row r="4629" spans="12:13" x14ac:dyDescent="0.25">
      <c r="L4629" s="65">
        <v>921962</v>
      </c>
      <c r="M4629" t="s">
        <v>3487</v>
      </c>
    </row>
    <row r="4630" spans="12:13" x14ac:dyDescent="0.25">
      <c r="L4630" s="65">
        <v>921965</v>
      </c>
      <c r="M4630" t="s">
        <v>3488</v>
      </c>
    </row>
    <row r="4631" spans="12:13" x14ac:dyDescent="0.25">
      <c r="L4631" s="65">
        <v>922000</v>
      </c>
      <c r="M4631" t="s">
        <v>3489</v>
      </c>
    </row>
    <row r="4632" spans="12:13" x14ac:dyDescent="0.25">
      <c r="L4632" s="65">
        <v>922100</v>
      </c>
      <c r="M4632" t="s">
        <v>3490</v>
      </c>
    </row>
    <row r="4633" spans="12:13" x14ac:dyDescent="0.25">
      <c r="L4633" s="65">
        <v>922120</v>
      </c>
      <c r="M4633" t="s">
        <v>3491</v>
      </c>
    </row>
    <row r="4634" spans="12:13" x14ac:dyDescent="0.25">
      <c r="L4634" s="65">
        <v>922121</v>
      </c>
      <c r="M4634" t="s">
        <v>3491</v>
      </c>
    </row>
    <row r="4635" spans="12:13" x14ac:dyDescent="0.25">
      <c r="L4635" s="65">
        <v>922130</v>
      </c>
      <c r="M4635" t="s">
        <v>3492</v>
      </c>
    </row>
    <row r="4636" spans="12:13" x14ac:dyDescent="0.25">
      <c r="L4636" s="65">
        <v>922131</v>
      </c>
      <c r="M4636" t="s">
        <v>3493</v>
      </c>
    </row>
    <row r="4637" spans="12:13" x14ac:dyDescent="0.25">
      <c r="L4637" s="65">
        <v>922132</v>
      </c>
      <c r="M4637" t="s">
        <v>3494</v>
      </c>
    </row>
    <row r="4638" spans="12:13" x14ac:dyDescent="0.25">
      <c r="L4638" s="65">
        <v>922140</v>
      </c>
      <c r="M4638" t="s">
        <v>3495</v>
      </c>
    </row>
    <row r="4639" spans="12:13" x14ac:dyDescent="0.25">
      <c r="L4639" s="65">
        <v>922141</v>
      </c>
      <c r="M4639" t="s">
        <v>3495</v>
      </c>
    </row>
    <row r="4640" spans="12:13" x14ac:dyDescent="0.25">
      <c r="L4640" s="65">
        <v>922150</v>
      </c>
      <c r="M4640" t="s">
        <v>3496</v>
      </c>
    </row>
    <row r="4641" spans="12:13" x14ac:dyDescent="0.25">
      <c r="L4641" s="65">
        <v>922151</v>
      </c>
      <c r="M4641" t="s">
        <v>3496</v>
      </c>
    </row>
    <row r="4642" spans="12:13" x14ac:dyDescent="0.25">
      <c r="L4642" s="65">
        <v>922160</v>
      </c>
      <c r="M4642" t="s">
        <v>3497</v>
      </c>
    </row>
    <row r="4643" spans="12:13" x14ac:dyDescent="0.25">
      <c r="L4643" s="65">
        <v>922161</v>
      </c>
      <c r="M4643" t="s">
        <v>3498</v>
      </c>
    </row>
    <row r="4644" spans="12:13" x14ac:dyDescent="0.25">
      <c r="L4644" s="65">
        <v>922162</v>
      </c>
      <c r="M4644" t="s">
        <v>3499</v>
      </c>
    </row>
    <row r="4645" spans="12:13" x14ac:dyDescent="0.25">
      <c r="L4645" s="65">
        <v>922165</v>
      </c>
      <c r="M4645" t="s">
        <v>3500</v>
      </c>
    </row>
    <row r="4646" spans="12:13" x14ac:dyDescent="0.25">
      <c r="L4646" s="65">
        <v>922200</v>
      </c>
      <c r="M4646" t="s">
        <v>3501</v>
      </c>
    </row>
    <row r="4647" spans="12:13" x14ac:dyDescent="0.25">
      <c r="L4647" s="65">
        <v>922220</v>
      </c>
      <c r="M4647" t="s">
        <v>3502</v>
      </c>
    </row>
    <row r="4648" spans="12:13" x14ac:dyDescent="0.25">
      <c r="L4648" s="65">
        <v>922221</v>
      </c>
      <c r="M4648" t="s">
        <v>3502</v>
      </c>
    </row>
    <row r="4649" spans="12:13" x14ac:dyDescent="0.25">
      <c r="L4649" s="65">
        <v>922230</v>
      </c>
      <c r="M4649" t="s">
        <v>3503</v>
      </c>
    </row>
    <row r="4650" spans="12:13" x14ac:dyDescent="0.25">
      <c r="L4650" s="65">
        <v>922231</v>
      </c>
      <c r="M4650" t="s">
        <v>3503</v>
      </c>
    </row>
    <row r="4651" spans="12:13" x14ac:dyDescent="0.25">
      <c r="L4651" s="65">
        <v>922240</v>
      </c>
      <c r="M4651" t="s">
        <v>3504</v>
      </c>
    </row>
    <row r="4652" spans="12:13" x14ac:dyDescent="0.25">
      <c r="L4652" s="65">
        <v>922241</v>
      </c>
      <c r="M4652" t="s">
        <v>3504</v>
      </c>
    </row>
    <row r="4653" spans="12:13" x14ac:dyDescent="0.25">
      <c r="L4653" s="65">
        <v>922250</v>
      </c>
      <c r="M4653" t="s">
        <v>3505</v>
      </c>
    </row>
    <row r="4654" spans="12:13" x14ac:dyDescent="0.25">
      <c r="L4654" s="65">
        <v>922251</v>
      </c>
      <c r="M4654" t="s">
        <v>3505</v>
      </c>
    </row>
    <row r="4655" spans="12:13" x14ac:dyDescent="0.25">
      <c r="L4655" s="65">
        <v>922260</v>
      </c>
      <c r="M4655" t="s">
        <v>3506</v>
      </c>
    </row>
    <row r="4656" spans="12:13" x14ac:dyDescent="0.25">
      <c r="L4656" s="65">
        <v>922261</v>
      </c>
      <c r="M4656" t="s">
        <v>3507</v>
      </c>
    </row>
    <row r="4657" spans="12:13" x14ac:dyDescent="0.25">
      <c r="L4657" s="65">
        <v>922262</v>
      </c>
      <c r="M4657" t="s">
        <v>3508</v>
      </c>
    </row>
    <row r="4658" spans="12:13" x14ac:dyDescent="0.25">
      <c r="L4658" s="65">
        <v>922265</v>
      </c>
      <c r="M4658" t="s">
        <v>3509</v>
      </c>
    </row>
    <row r="4659" spans="12:13" x14ac:dyDescent="0.25">
      <c r="L4659" s="65">
        <v>922300</v>
      </c>
      <c r="M4659" t="s">
        <v>3510</v>
      </c>
    </row>
    <row r="4660" spans="12:13" x14ac:dyDescent="0.25">
      <c r="L4660" s="65">
        <v>922320</v>
      </c>
      <c r="M4660" t="s">
        <v>3511</v>
      </c>
    </row>
    <row r="4661" spans="12:13" x14ac:dyDescent="0.25">
      <c r="L4661" s="65">
        <v>922321</v>
      </c>
      <c r="M4661" t="s">
        <v>3511</v>
      </c>
    </row>
    <row r="4662" spans="12:13" x14ac:dyDescent="0.25">
      <c r="L4662" s="65">
        <v>922330</v>
      </c>
      <c r="M4662" t="s">
        <v>3512</v>
      </c>
    </row>
    <row r="4663" spans="12:13" x14ac:dyDescent="0.25">
      <c r="L4663" s="65">
        <v>922331</v>
      </c>
      <c r="M4663" t="s">
        <v>3512</v>
      </c>
    </row>
    <row r="4664" spans="12:13" x14ac:dyDescent="0.25">
      <c r="L4664" s="65">
        <v>922340</v>
      </c>
      <c r="M4664" t="s">
        <v>3513</v>
      </c>
    </row>
    <row r="4665" spans="12:13" x14ac:dyDescent="0.25">
      <c r="L4665" s="65">
        <v>922341</v>
      </c>
      <c r="M4665" t="s">
        <v>3513</v>
      </c>
    </row>
    <row r="4666" spans="12:13" x14ac:dyDescent="0.25">
      <c r="L4666" s="65">
        <v>922350</v>
      </c>
      <c r="M4666" t="s">
        <v>3514</v>
      </c>
    </row>
    <row r="4667" spans="12:13" x14ac:dyDescent="0.25">
      <c r="L4667" s="65">
        <v>922351</v>
      </c>
      <c r="M4667" t="s">
        <v>3514</v>
      </c>
    </row>
    <row r="4668" spans="12:13" x14ac:dyDescent="0.25">
      <c r="L4668" s="65">
        <v>922360</v>
      </c>
      <c r="M4668" t="s">
        <v>3515</v>
      </c>
    </row>
    <row r="4669" spans="12:13" x14ac:dyDescent="0.25">
      <c r="L4669" s="65">
        <v>922361</v>
      </c>
      <c r="M4669" t="s">
        <v>3516</v>
      </c>
    </row>
    <row r="4670" spans="12:13" x14ac:dyDescent="0.25">
      <c r="L4670" s="65">
        <v>922362</v>
      </c>
      <c r="M4670" t="s">
        <v>3517</v>
      </c>
    </row>
    <row r="4671" spans="12:13" x14ac:dyDescent="0.25">
      <c r="L4671" s="65">
        <v>922365</v>
      </c>
      <c r="M4671" t="s">
        <v>3518</v>
      </c>
    </row>
    <row r="4672" spans="12:13" x14ac:dyDescent="0.25">
      <c r="L4672" s="65">
        <v>922400</v>
      </c>
      <c r="M4672" t="s">
        <v>3519</v>
      </c>
    </row>
    <row r="4673" spans="12:13" x14ac:dyDescent="0.25">
      <c r="L4673" s="65">
        <v>922420</v>
      </c>
      <c r="M4673" t="s">
        <v>3520</v>
      </c>
    </row>
    <row r="4674" spans="12:13" x14ac:dyDescent="0.25">
      <c r="L4674" s="65">
        <v>922421</v>
      </c>
      <c r="M4674" t="s">
        <v>3520</v>
      </c>
    </row>
    <row r="4675" spans="12:13" x14ac:dyDescent="0.25">
      <c r="L4675" s="65">
        <v>922430</v>
      </c>
      <c r="M4675" t="s">
        <v>3521</v>
      </c>
    </row>
    <row r="4676" spans="12:13" x14ac:dyDescent="0.25">
      <c r="L4676" s="65">
        <v>922431</v>
      </c>
      <c r="M4676" t="s">
        <v>3521</v>
      </c>
    </row>
    <row r="4677" spans="12:13" x14ac:dyDescent="0.25">
      <c r="L4677" s="65">
        <v>922440</v>
      </c>
      <c r="M4677" t="s">
        <v>3522</v>
      </c>
    </row>
    <row r="4678" spans="12:13" x14ac:dyDescent="0.25">
      <c r="L4678" s="65">
        <v>922441</v>
      </c>
      <c r="M4678" t="s">
        <v>3522</v>
      </c>
    </row>
    <row r="4679" spans="12:13" x14ac:dyDescent="0.25">
      <c r="L4679" s="65">
        <v>922450</v>
      </c>
      <c r="M4679" t="s">
        <v>3523</v>
      </c>
    </row>
    <row r="4680" spans="12:13" x14ac:dyDescent="0.25">
      <c r="L4680" s="65">
        <v>922451</v>
      </c>
      <c r="M4680" t="s">
        <v>3523</v>
      </c>
    </row>
    <row r="4681" spans="12:13" x14ac:dyDescent="0.25">
      <c r="L4681" s="65">
        <v>922460</v>
      </c>
      <c r="M4681" t="s">
        <v>3524</v>
      </c>
    </row>
    <row r="4682" spans="12:13" x14ac:dyDescent="0.25">
      <c r="L4682" s="65">
        <v>922461</v>
      </c>
      <c r="M4682" t="s">
        <v>3525</v>
      </c>
    </row>
    <row r="4683" spans="12:13" x14ac:dyDescent="0.25">
      <c r="L4683" s="65">
        <v>922462</v>
      </c>
      <c r="M4683" t="s">
        <v>3526</v>
      </c>
    </row>
    <row r="4684" spans="12:13" x14ac:dyDescent="0.25">
      <c r="L4684" s="65">
        <v>922465</v>
      </c>
      <c r="M4684" t="s">
        <v>3527</v>
      </c>
    </row>
    <row r="4685" spans="12:13" x14ac:dyDescent="0.25">
      <c r="L4685" s="65">
        <v>922500</v>
      </c>
      <c r="M4685" t="s">
        <v>3528</v>
      </c>
    </row>
    <row r="4686" spans="12:13" x14ac:dyDescent="0.25">
      <c r="L4686" s="65">
        <v>922520</v>
      </c>
      <c r="M4686" t="s">
        <v>3529</v>
      </c>
    </row>
    <row r="4687" spans="12:13" x14ac:dyDescent="0.25">
      <c r="L4687" s="65">
        <v>922521</v>
      </c>
      <c r="M4687" t="s">
        <v>3529</v>
      </c>
    </row>
    <row r="4688" spans="12:13" x14ac:dyDescent="0.25">
      <c r="L4688" s="65">
        <v>922530</v>
      </c>
      <c r="M4688" t="s">
        <v>3530</v>
      </c>
    </row>
    <row r="4689" spans="12:13" x14ac:dyDescent="0.25">
      <c r="L4689" s="65">
        <v>922531</v>
      </c>
      <c r="M4689" t="s">
        <v>3530</v>
      </c>
    </row>
    <row r="4690" spans="12:13" x14ac:dyDescent="0.25">
      <c r="L4690" s="65">
        <v>922540</v>
      </c>
      <c r="M4690" t="s">
        <v>3531</v>
      </c>
    </row>
    <row r="4691" spans="12:13" x14ac:dyDescent="0.25">
      <c r="L4691" s="65">
        <v>922541</v>
      </c>
      <c r="M4691" t="s">
        <v>3531</v>
      </c>
    </row>
    <row r="4692" spans="12:13" x14ac:dyDescent="0.25">
      <c r="L4692" s="65">
        <v>922550</v>
      </c>
      <c r="M4692" t="s">
        <v>3532</v>
      </c>
    </row>
    <row r="4693" spans="12:13" x14ac:dyDescent="0.25">
      <c r="L4693" s="65">
        <v>922551</v>
      </c>
      <c r="M4693" t="s">
        <v>3532</v>
      </c>
    </row>
    <row r="4694" spans="12:13" x14ac:dyDescent="0.25">
      <c r="L4694" s="65">
        <v>922560</v>
      </c>
      <c r="M4694" t="s">
        <v>3533</v>
      </c>
    </row>
    <row r="4695" spans="12:13" x14ac:dyDescent="0.25">
      <c r="L4695" s="65">
        <v>922561</v>
      </c>
      <c r="M4695" t="s">
        <v>3534</v>
      </c>
    </row>
    <row r="4696" spans="12:13" x14ac:dyDescent="0.25">
      <c r="L4696" s="65">
        <v>922562</v>
      </c>
      <c r="M4696" t="s">
        <v>3535</v>
      </c>
    </row>
    <row r="4697" spans="12:13" x14ac:dyDescent="0.25">
      <c r="L4697" s="65">
        <v>922565</v>
      </c>
      <c r="M4697" t="s">
        <v>3536</v>
      </c>
    </row>
    <row r="4698" spans="12:13" x14ac:dyDescent="0.25">
      <c r="L4698" s="65">
        <v>922600</v>
      </c>
      <c r="M4698" t="s">
        <v>3537</v>
      </c>
    </row>
    <row r="4699" spans="12:13" x14ac:dyDescent="0.25">
      <c r="L4699" s="65">
        <v>922620</v>
      </c>
      <c r="M4699" t="s">
        <v>3538</v>
      </c>
    </row>
    <row r="4700" spans="12:13" x14ac:dyDescent="0.25">
      <c r="L4700" s="65">
        <v>922621</v>
      </c>
      <c r="M4700" t="s">
        <v>3538</v>
      </c>
    </row>
    <row r="4701" spans="12:13" x14ac:dyDescent="0.25">
      <c r="L4701" s="65">
        <v>922630</v>
      </c>
      <c r="M4701" t="s">
        <v>3539</v>
      </c>
    </row>
    <row r="4702" spans="12:13" x14ac:dyDescent="0.25">
      <c r="L4702" s="65">
        <v>922631</v>
      </c>
      <c r="M4702" t="s">
        <v>3539</v>
      </c>
    </row>
    <row r="4703" spans="12:13" x14ac:dyDescent="0.25">
      <c r="L4703" s="65">
        <v>922640</v>
      </c>
      <c r="M4703" t="s">
        <v>3540</v>
      </c>
    </row>
    <row r="4704" spans="12:13" x14ac:dyDescent="0.25">
      <c r="L4704" s="65">
        <v>922641</v>
      </c>
      <c r="M4704" t="s">
        <v>3540</v>
      </c>
    </row>
    <row r="4705" spans="12:13" x14ac:dyDescent="0.25">
      <c r="L4705" s="65">
        <v>922650</v>
      </c>
      <c r="M4705" t="s">
        <v>3541</v>
      </c>
    </row>
    <row r="4706" spans="12:13" x14ac:dyDescent="0.25">
      <c r="L4706" s="65">
        <v>922651</v>
      </c>
      <c r="M4706" t="s">
        <v>3541</v>
      </c>
    </row>
    <row r="4707" spans="12:13" x14ac:dyDescent="0.25">
      <c r="L4707" s="65">
        <v>922660</v>
      </c>
      <c r="M4707" t="s">
        <v>3542</v>
      </c>
    </row>
    <row r="4708" spans="12:13" x14ac:dyDescent="0.25">
      <c r="L4708" s="65">
        <v>922661</v>
      </c>
      <c r="M4708" t="s">
        <v>3543</v>
      </c>
    </row>
    <row r="4709" spans="12:13" x14ac:dyDescent="0.25">
      <c r="L4709" s="65">
        <v>922662</v>
      </c>
      <c r="M4709" t="s">
        <v>3544</v>
      </c>
    </row>
    <row r="4710" spans="12:13" x14ac:dyDescent="0.25">
      <c r="L4710" s="65">
        <v>922665</v>
      </c>
      <c r="M4710" t="s">
        <v>3545</v>
      </c>
    </row>
    <row r="4711" spans="12:13" x14ac:dyDescent="0.25">
      <c r="L4711" s="65">
        <v>922700</v>
      </c>
      <c r="M4711" t="s">
        <v>3546</v>
      </c>
    </row>
    <row r="4712" spans="12:13" x14ac:dyDescent="0.25">
      <c r="L4712" s="65">
        <v>922720</v>
      </c>
      <c r="M4712" t="s">
        <v>3547</v>
      </c>
    </row>
    <row r="4713" spans="12:13" x14ac:dyDescent="0.25">
      <c r="L4713" s="65">
        <v>922721</v>
      </c>
      <c r="M4713" t="s">
        <v>3547</v>
      </c>
    </row>
    <row r="4714" spans="12:13" x14ac:dyDescent="0.25">
      <c r="L4714" s="65">
        <v>922730</v>
      </c>
      <c r="M4714" t="s">
        <v>3548</v>
      </c>
    </row>
    <row r="4715" spans="12:13" x14ac:dyDescent="0.25">
      <c r="L4715" s="65">
        <v>922731</v>
      </c>
      <c r="M4715" t="s">
        <v>3549</v>
      </c>
    </row>
    <row r="4716" spans="12:13" x14ac:dyDescent="0.25">
      <c r="L4716" s="65">
        <v>922732</v>
      </c>
      <c r="M4716" t="s">
        <v>3550</v>
      </c>
    </row>
    <row r="4717" spans="12:13" x14ac:dyDescent="0.25">
      <c r="L4717" s="65">
        <v>922740</v>
      </c>
      <c r="M4717" t="s">
        <v>3551</v>
      </c>
    </row>
    <row r="4718" spans="12:13" x14ac:dyDescent="0.25">
      <c r="L4718" s="65">
        <v>922741</v>
      </c>
      <c r="M4718" t="s">
        <v>3551</v>
      </c>
    </row>
    <row r="4719" spans="12:13" x14ac:dyDescent="0.25">
      <c r="L4719" s="65">
        <v>922750</v>
      </c>
      <c r="M4719" t="s">
        <v>3552</v>
      </c>
    </row>
    <row r="4720" spans="12:13" x14ac:dyDescent="0.25">
      <c r="L4720" s="65">
        <v>922751</v>
      </c>
      <c r="M4720" t="s">
        <v>3552</v>
      </c>
    </row>
    <row r="4721" spans="12:13" x14ac:dyDescent="0.25">
      <c r="L4721" s="65">
        <v>922760</v>
      </c>
      <c r="M4721" t="s">
        <v>3553</v>
      </c>
    </row>
    <row r="4722" spans="12:13" x14ac:dyDescent="0.25">
      <c r="L4722" s="65">
        <v>922761</v>
      </c>
      <c r="M4722" t="s">
        <v>3554</v>
      </c>
    </row>
    <row r="4723" spans="12:13" x14ac:dyDescent="0.25">
      <c r="L4723" s="65">
        <v>922762</v>
      </c>
      <c r="M4723" t="s">
        <v>3555</v>
      </c>
    </row>
    <row r="4724" spans="12:13" x14ac:dyDescent="0.25">
      <c r="L4724" s="65">
        <v>922765</v>
      </c>
      <c r="M4724" t="s">
        <v>3556</v>
      </c>
    </row>
    <row r="4725" spans="12:13" x14ac:dyDescent="0.25">
      <c r="L4725" s="65">
        <v>922800</v>
      </c>
      <c r="M4725" t="s">
        <v>1214</v>
      </c>
    </row>
    <row r="4726" spans="12:13" x14ac:dyDescent="0.25">
      <c r="L4726" s="65">
        <v>922810</v>
      </c>
      <c r="M4726" t="s">
        <v>1214</v>
      </c>
    </row>
    <row r="4727" spans="12:13" x14ac:dyDescent="0.25">
      <c r="L4727" s="65">
        <v>922811</v>
      </c>
      <c r="M4727" t="s">
        <v>1214</v>
      </c>
    </row>
    <row r="4728" spans="12:13" x14ac:dyDescent="0.25">
      <c r="L4728" s="65">
        <v>990000</v>
      </c>
      <c r="M4728" t="s">
        <v>3557</v>
      </c>
    </row>
    <row r="4729" spans="12:13" x14ac:dyDescent="0.25">
      <c r="L4729" s="65">
        <v>999000</v>
      </c>
      <c r="M4729" t="s">
        <v>3557</v>
      </c>
    </row>
    <row r="4730" spans="12:13" x14ac:dyDescent="0.25">
      <c r="L4730" s="65">
        <v>999900</v>
      </c>
      <c r="M4730" t="s">
        <v>3557</v>
      </c>
    </row>
    <row r="4731" spans="12:13" x14ac:dyDescent="0.25">
      <c r="L4731" s="65">
        <v>999990</v>
      </c>
      <c r="M4731" t="s">
        <v>3557</v>
      </c>
    </row>
    <row r="4732" spans="12:13" x14ac:dyDescent="0.25">
      <c r="L4732" s="65">
        <v>999999</v>
      </c>
      <c r="M4732" t="s">
        <v>3557</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Рачун финансирања</vt:lpstr>
      <vt:lpstr>Приџ,прим vs Расх,изд</vt:lpstr>
      <vt:lpstr>Оптшти део - (6)</vt:lpstr>
      <vt:lpstr>По основ. нам.</vt:lpstr>
      <vt:lpstr>Програмска</vt:lpstr>
      <vt:lpstr>Расх по функц. </vt:lpstr>
      <vt:lpstr>ПО КОРИСНИЦИМА</vt:lpstr>
      <vt:lpstr>члан 3</vt:lpstr>
      <vt:lpstr>Класификације</vt:lpstr>
      <vt:lpstr>РЕЗЕРВА</vt:lpstr>
      <vt:lpstr>Sheet1</vt:lpstr>
      <vt:lpstr>TUR.ORG PLATA</vt:lpstr>
      <vt:lpstr>t1 podaci</vt:lpstr>
      <vt:lpstr>Sheet2</vt:lpstr>
      <vt:lpstr>ljkl</vt:lpstr>
      <vt:lpstr>'Оптшти део - (6)'!Print_Area</vt:lpstr>
      <vt:lpstr>'ПО КОРИСНИЦИМА'!Print_Area</vt:lpstr>
      <vt:lpstr>'По основ. нам.'!Print_Area</vt:lpstr>
      <vt:lpstr>Програмска!Print_Area</vt:lpstr>
      <vt:lpstr>'Расх по функц. '!Print_Area</vt:lpstr>
      <vt:lpstr>'Рачун финансирања'!Print_Area</vt:lpstr>
      <vt:lpstr>'члан 3'!Print_Area</vt:lpstr>
      <vt:lpstr>Ukupno_funkcionalna</vt:lpstr>
      <vt:lpstr>Ukupno_izdaci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User</cp:lastModifiedBy>
  <cp:lastPrinted>2019-11-05T05:56:15Z</cp:lastPrinted>
  <dcterms:created xsi:type="dcterms:W3CDTF">2014-09-23T08:37:30Z</dcterms:created>
  <dcterms:modified xsi:type="dcterms:W3CDTF">2019-11-05T06:30:31Z</dcterms:modified>
</cp:coreProperties>
</file>